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60" windowWidth="19440" windowHeight="12015"/>
  </bookViews>
  <sheets>
    <sheet name="Precatórios " sheetId="1" r:id="rId1"/>
  </sheets>
  <definedNames>
    <definedName name="_xlnm._FilterDatabase" localSheetId="0" hidden="1">'Precatórios '!$B$1:$Q$98</definedName>
  </definedNames>
  <calcPr calcId="144525"/>
</workbook>
</file>

<file path=xl/calcChain.xml><?xml version="1.0" encoding="utf-8"?>
<calcChain xmlns="http://schemas.openxmlformats.org/spreadsheetml/2006/main">
  <c r="D98" i="1" l="1"/>
  <c r="G97" i="1"/>
  <c r="H97" i="1" s="1"/>
  <c r="J97" i="1" s="1"/>
  <c r="L97" i="1" s="1"/>
  <c r="M97" i="1" s="1"/>
  <c r="F97" i="1"/>
  <c r="G96" i="1"/>
  <c r="H96" i="1" s="1"/>
  <c r="I96" i="1" s="1"/>
  <c r="F96" i="1"/>
  <c r="G95" i="1"/>
  <c r="D95" i="1"/>
  <c r="H94" i="1"/>
  <c r="I94" i="1" s="1"/>
  <c r="G94" i="1"/>
  <c r="F94" i="1"/>
  <c r="G93" i="1"/>
  <c r="H93" i="1" s="1"/>
  <c r="I93" i="1" s="1"/>
  <c r="F93" i="1"/>
  <c r="G92" i="1"/>
  <c r="H92" i="1" s="1"/>
  <c r="I92" i="1" s="1"/>
  <c r="F92" i="1"/>
  <c r="G91" i="1"/>
  <c r="H91" i="1" s="1"/>
  <c r="I91" i="1" s="1"/>
  <c r="F91" i="1"/>
  <c r="G90" i="1"/>
  <c r="H90" i="1" s="1"/>
  <c r="I90" i="1" s="1"/>
  <c r="F90" i="1"/>
  <c r="G89" i="1"/>
  <c r="H89" i="1" s="1"/>
  <c r="I89" i="1" s="1"/>
  <c r="F89" i="1"/>
  <c r="G88" i="1"/>
  <c r="H88" i="1" s="1"/>
  <c r="I88" i="1" s="1"/>
  <c r="F88" i="1"/>
  <c r="G87" i="1"/>
  <c r="H87" i="1" s="1"/>
  <c r="F87" i="1"/>
  <c r="G86" i="1"/>
  <c r="H86" i="1" s="1"/>
  <c r="F86" i="1"/>
  <c r="G85" i="1"/>
  <c r="H85" i="1" s="1"/>
  <c r="F85" i="1"/>
  <c r="H84" i="1"/>
  <c r="I84" i="1" s="1"/>
  <c r="G84" i="1"/>
  <c r="F84" i="1"/>
  <c r="G83" i="1"/>
  <c r="H83" i="1" s="1"/>
  <c r="I83" i="1" s="1"/>
  <c r="F83" i="1"/>
  <c r="G82" i="1"/>
  <c r="H82" i="1" s="1"/>
  <c r="I82" i="1" s="1"/>
  <c r="F82" i="1"/>
  <c r="G81" i="1"/>
  <c r="H81" i="1" s="1"/>
  <c r="I81" i="1" s="1"/>
  <c r="F81" i="1"/>
  <c r="G80" i="1"/>
  <c r="H80" i="1" s="1"/>
  <c r="I80" i="1" s="1"/>
  <c r="F80" i="1"/>
  <c r="G79" i="1"/>
  <c r="H79" i="1" s="1"/>
  <c r="I79" i="1" s="1"/>
  <c r="F79" i="1"/>
  <c r="G78" i="1"/>
  <c r="H78" i="1" s="1"/>
  <c r="F78" i="1"/>
  <c r="G77" i="1"/>
  <c r="H77" i="1" s="1"/>
  <c r="F77" i="1"/>
  <c r="G76" i="1"/>
  <c r="H76" i="1" s="1"/>
  <c r="F76" i="1"/>
  <c r="H75" i="1"/>
  <c r="I75" i="1" s="1"/>
  <c r="G75" i="1"/>
  <c r="F75" i="1"/>
  <c r="G74" i="1"/>
  <c r="H74" i="1" s="1"/>
  <c r="I74" i="1" s="1"/>
  <c r="F74" i="1"/>
  <c r="G73" i="1"/>
  <c r="H73" i="1" s="1"/>
  <c r="I73" i="1" s="1"/>
  <c r="F73" i="1"/>
  <c r="G72" i="1"/>
  <c r="H72" i="1" s="1"/>
  <c r="I72" i="1" s="1"/>
  <c r="F72" i="1"/>
  <c r="G71" i="1"/>
  <c r="H71" i="1" s="1"/>
  <c r="I71" i="1" s="1"/>
  <c r="F71" i="1"/>
  <c r="G70" i="1"/>
  <c r="H70" i="1" s="1"/>
  <c r="I70" i="1" s="1"/>
  <c r="F70" i="1"/>
  <c r="H69" i="1"/>
  <c r="I69" i="1" s="1"/>
  <c r="G69" i="1"/>
  <c r="F69" i="1"/>
  <c r="G68" i="1"/>
  <c r="H68" i="1" s="1"/>
  <c r="I68" i="1" s="1"/>
  <c r="F68" i="1"/>
  <c r="G67" i="1"/>
  <c r="H67" i="1" s="1"/>
  <c r="I67" i="1" s="1"/>
  <c r="F67" i="1"/>
  <c r="G66" i="1"/>
  <c r="H66" i="1" s="1"/>
  <c r="I66" i="1" s="1"/>
  <c r="F66" i="1"/>
  <c r="G65" i="1"/>
  <c r="H65" i="1" s="1"/>
  <c r="F65" i="1"/>
  <c r="G64" i="1"/>
  <c r="H64" i="1" s="1"/>
  <c r="I64" i="1" s="1"/>
  <c r="F64" i="1"/>
  <c r="G63" i="1"/>
  <c r="H63" i="1" s="1"/>
  <c r="I63" i="1" s="1"/>
  <c r="F63" i="1"/>
  <c r="G62" i="1"/>
  <c r="H62" i="1" s="1"/>
  <c r="F62" i="1"/>
  <c r="H61" i="1"/>
  <c r="I61" i="1" s="1"/>
  <c r="G61" i="1"/>
  <c r="F61" i="1"/>
  <c r="G60" i="1"/>
  <c r="H60" i="1" s="1"/>
  <c r="I60" i="1" s="1"/>
  <c r="F60" i="1"/>
  <c r="G59" i="1"/>
  <c r="H59" i="1" s="1"/>
  <c r="F59" i="1"/>
  <c r="G58" i="1"/>
  <c r="H58" i="1" s="1"/>
  <c r="F58" i="1"/>
  <c r="G57" i="1"/>
  <c r="H57" i="1" s="1"/>
  <c r="I57" i="1" s="1"/>
  <c r="F57" i="1"/>
  <c r="G56" i="1"/>
  <c r="H56" i="1" s="1"/>
  <c r="I56" i="1" s="1"/>
  <c r="F56" i="1"/>
  <c r="G55" i="1"/>
  <c r="H55" i="1" s="1"/>
  <c r="F55" i="1"/>
  <c r="G54" i="1"/>
  <c r="H54" i="1" s="1"/>
  <c r="F54" i="1"/>
  <c r="G53" i="1"/>
  <c r="H53" i="1" s="1"/>
  <c r="F53" i="1"/>
  <c r="G52" i="1"/>
  <c r="H52" i="1" s="1"/>
  <c r="F52" i="1"/>
  <c r="G51" i="1"/>
  <c r="H51" i="1" s="1"/>
  <c r="I51" i="1" s="1"/>
  <c r="F51" i="1"/>
  <c r="G50" i="1"/>
  <c r="H50" i="1" s="1"/>
  <c r="I50" i="1" s="1"/>
  <c r="F50" i="1"/>
  <c r="H49" i="1"/>
  <c r="I49" i="1" s="1"/>
  <c r="G49" i="1"/>
  <c r="F49" i="1"/>
  <c r="G48" i="1"/>
  <c r="H48" i="1" s="1"/>
  <c r="I48" i="1" s="1"/>
  <c r="F48" i="1"/>
  <c r="G47" i="1"/>
  <c r="H47" i="1" s="1"/>
  <c r="F47" i="1"/>
  <c r="G46" i="1"/>
  <c r="H46" i="1" s="1"/>
  <c r="F46" i="1"/>
  <c r="G45" i="1"/>
  <c r="H45" i="1" s="1"/>
  <c r="I45" i="1" s="1"/>
  <c r="F45" i="1"/>
  <c r="G44" i="1"/>
  <c r="H44" i="1" s="1"/>
  <c r="I44" i="1" s="1"/>
  <c r="F44" i="1"/>
  <c r="G43" i="1"/>
  <c r="H43" i="1" s="1"/>
  <c r="I43" i="1" s="1"/>
  <c r="F43" i="1"/>
  <c r="G42" i="1"/>
  <c r="H42" i="1" s="1"/>
  <c r="I42" i="1" s="1"/>
  <c r="F42" i="1"/>
  <c r="G41" i="1"/>
  <c r="H41" i="1" s="1"/>
  <c r="I41" i="1" s="1"/>
  <c r="F41" i="1"/>
  <c r="G40" i="1"/>
  <c r="H40" i="1" s="1"/>
  <c r="F40" i="1"/>
  <c r="H39" i="1"/>
  <c r="I39" i="1" s="1"/>
  <c r="G39" i="1"/>
  <c r="F39" i="1"/>
  <c r="G38" i="1"/>
  <c r="H38" i="1" s="1"/>
  <c r="I38" i="1" s="1"/>
  <c r="F38" i="1"/>
  <c r="G37" i="1"/>
  <c r="H37" i="1" s="1"/>
  <c r="I37" i="1" s="1"/>
  <c r="F37" i="1"/>
  <c r="G36" i="1"/>
  <c r="H36" i="1" s="1"/>
  <c r="F36" i="1"/>
  <c r="G35" i="1"/>
  <c r="H35" i="1" s="1"/>
  <c r="I35" i="1" s="1"/>
  <c r="F35" i="1"/>
  <c r="G34" i="1"/>
  <c r="H34" i="1" s="1"/>
  <c r="I34" i="1" s="1"/>
  <c r="F34" i="1"/>
  <c r="G33" i="1"/>
  <c r="H33" i="1" s="1"/>
  <c r="I33" i="1" s="1"/>
  <c r="F33" i="1"/>
  <c r="H32" i="1"/>
  <c r="I32" i="1" s="1"/>
  <c r="G32" i="1"/>
  <c r="F32" i="1"/>
  <c r="G31" i="1"/>
  <c r="H31" i="1" s="1"/>
  <c r="I31" i="1" s="1"/>
  <c r="F31" i="1"/>
  <c r="G30" i="1"/>
  <c r="H30" i="1" s="1"/>
  <c r="F30" i="1"/>
  <c r="G29" i="1"/>
  <c r="H29" i="1" s="1"/>
  <c r="I29" i="1" s="1"/>
  <c r="F29" i="1"/>
  <c r="G28" i="1"/>
  <c r="H28" i="1" s="1"/>
  <c r="I28" i="1" s="1"/>
  <c r="F28" i="1"/>
  <c r="G27" i="1"/>
  <c r="H27" i="1" s="1"/>
  <c r="I27" i="1" s="1"/>
  <c r="F27" i="1"/>
  <c r="G26" i="1"/>
  <c r="H26" i="1" s="1"/>
  <c r="I26" i="1" s="1"/>
  <c r="F26" i="1"/>
  <c r="G25" i="1"/>
  <c r="H25" i="1" s="1"/>
  <c r="I25" i="1" s="1"/>
  <c r="F25" i="1"/>
  <c r="G24" i="1"/>
  <c r="H24" i="1" s="1"/>
  <c r="F24" i="1"/>
  <c r="H23" i="1"/>
  <c r="I23" i="1" s="1"/>
  <c r="G23" i="1"/>
  <c r="F23" i="1"/>
  <c r="G22" i="1"/>
  <c r="H22" i="1" s="1"/>
  <c r="I22" i="1" s="1"/>
  <c r="F22" i="1"/>
  <c r="G21" i="1"/>
  <c r="H21" i="1" s="1"/>
  <c r="I21" i="1" s="1"/>
  <c r="F21" i="1"/>
  <c r="G20" i="1"/>
  <c r="H20" i="1" s="1"/>
  <c r="I20" i="1" s="1"/>
  <c r="F20" i="1"/>
  <c r="G19" i="1"/>
  <c r="H19" i="1" s="1"/>
  <c r="I19" i="1" s="1"/>
  <c r="F19" i="1"/>
  <c r="G18" i="1"/>
  <c r="H18" i="1" s="1"/>
  <c r="I18" i="1" s="1"/>
  <c r="F18" i="1"/>
  <c r="G17" i="1"/>
  <c r="H17" i="1" s="1"/>
  <c r="I17" i="1" s="1"/>
  <c r="F17" i="1"/>
  <c r="G16" i="1"/>
  <c r="H16" i="1" s="1"/>
  <c r="I16" i="1" s="1"/>
  <c r="F16" i="1"/>
  <c r="H15" i="1"/>
  <c r="I15" i="1" s="1"/>
  <c r="G15" i="1"/>
  <c r="F15" i="1"/>
  <c r="G14" i="1"/>
  <c r="H14" i="1" s="1"/>
  <c r="I14" i="1" s="1"/>
  <c r="F14" i="1"/>
  <c r="G13" i="1"/>
  <c r="H13" i="1" s="1"/>
  <c r="I13" i="1" s="1"/>
  <c r="F13" i="1"/>
  <c r="G12" i="1"/>
  <c r="H12" i="1" s="1"/>
  <c r="I12" i="1" s="1"/>
  <c r="F12" i="1"/>
  <c r="G11" i="1"/>
  <c r="H11" i="1" s="1"/>
  <c r="I11" i="1" s="1"/>
  <c r="F11" i="1"/>
  <c r="G10" i="1"/>
  <c r="H10" i="1" s="1"/>
  <c r="I10" i="1" s="1"/>
  <c r="F10" i="1"/>
  <c r="G9" i="1"/>
  <c r="H9" i="1" s="1"/>
  <c r="I9" i="1" s="1"/>
  <c r="F9" i="1"/>
  <c r="G8" i="1"/>
  <c r="H8" i="1" s="1"/>
  <c r="I8" i="1" s="1"/>
  <c r="F8" i="1"/>
  <c r="H7" i="1"/>
  <c r="I7" i="1" s="1"/>
  <c r="G7" i="1"/>
  <c r="F7" i="1"/>
  <c r="G6" i="1"/>
  <c r="H6" i="1" s="1"/>
  <c r="I6" i="1" s="1"/>
  <c r="F6" i="1"/>
  <c r="G5" i="1"/>
  <c r="H5" i="1" s="1"/>
  <c r="I5" i="1" s="1"/>
  <c r="F5" i="1"/>
  <c r="G4" i="1"/>
  <c r="H4" i="1" s="1"/>
  <c r="I4" i="1" s="1"/>
  <c r="F4" i="1"/>
  <c r="G3" i="1"/>
  <c r="H3" i="1" s="1"/>
  <c r="I3" i="1" s="1"/>
  <c r="F3" i="1"/>
  <c r="G2" i="1"/>
  <c r="H2" i="1" s="1"/>
  <c r="I2" i="1" s="1"/>
  <c r="F2" i="1"/>
  <c r="I30" i="1" l="1"/>
  <c r="J30" i="1"/>
  <c r="K30" i="1" s="1"/>
  <c r="I46" i="1"/>
  <c r="J46" i="1"/>
  <c r="K46" i="1" s="1"/>
  <c r="I47" i="1"/>
  <c r="J47" i="1"/>
  <c r="K47" i="1" s="1"/>
  <c r="I58" i="1"/>
  <c r="J58" i="1"/>
  <c r="K58" i="1" s="1"/>
  <c r="I59" i="1"/>
  <c r="J59" i="1"/>
  <c r="K59" i="1" s="1"/>
  <c r="I65" i="1"/>
  <c r="J65" i="1"/>
  <c r="K65" i="1" s="1"/>
  <c r="I24" i="1"/>
  <c r="J24" i="1"/>
  <c r="K24" i="1" s="1"/>
  <c r="I36" i="1"/>
  <c r="J36" i="1"/>
  <c r="K36" i="1" s="1"/>
  <c r="I40" i="1"/>
  <c r="J40" i="1"/>
  <c r="K40" i="1" s="1"/>
  <c r="I52" i="1"/>
  <c r="J52" i="1"/>
  <c r="K52" i="1" s="1"/>
  <c r="I53" i="1"/>
  <c r="J53" i="1"/>
  <c r="K53" i="1" s="1"/>
  <c r="I54" i="1"/>
  <c r="J54" i="1"/>
  <c r="K54" i="1" s="1"/>
  <c r="I55" i="1"/>
  <c r="J55" i="1"/>
  <c r="K55" i="1" s="1"/>
  <c r="I62" i="1"/>
  <c r="J62" i="1"/>
  <c r="K62" i="1" s="1"/>
  <c r="I76" i="1"/>
  <c r="J76" i="1"/>
  <c r="K76" i="1" s="1"/>
  <c r="I77" i="1"/>
  <c r="J77" i="1"/>
  <c r="K77" i="1" s="1"/>
  <c r="I78" i="1"/>
  <c r="J78" i="1"/>
  <c r="K78" i="1" s="1"/>
  <c r="I85" i="1"/>
  <c r="J85" i="1"/>
  <c r="K85" i="1" s="1"/>
  <c r="I86" i="1"/>
  <c r="J86" i="1"/>
  <c r="K86" i="1" s="1"/>
  <c r="I87" i="1"/>
  <c r="J87" i="1"/>
  <c r="K87" i="1" s="1"/>
  <c r="J28" i="1"/>
  <c r="K28" i="1" s="1"/>
  <c r="J34" i="1"/>
  <c r="K34" i="1" s="1"/>
  <c r="J38" i="1"/>
  <c r="K38" i="1" s="1"/>
  <c r="J42" i="1"/>
  <c r="K42" i="1" s="1"/>
  <c r="J49" i="1"/>
  <c r="K49" i="1" s="1"/>
  <c r="J50" i="1"/>
  <c r="K50" i="1" s="1"/>
  <c r="J67" i="1"/>
  <c r="K67" i="1" s="1"/>
  <c r="J68" i="1"/>
  <c r="K68" i="1" s="1"/>
  <c r="J71" i="1"/>
  <c r="K71" i="1" s="1"/>
  <c r="J74" i="1"/>
  <c r="K74" i="1" s="1"/>
  <c r="J82" i="1"/>
  <c r="K82" i="1" s="1"/>
  <c r="J83" i="1"/>
  <c r="K83" i="1" s="1"/>
  <c r="J91" i="1"/>
  <c r="K91" i="1" s="1"/>
  <c r="I97" i="1"/>
  <c r="H95" i="1"/>
  <c r="F95" i="1"/>
  <c r="J2" i="1"/>
  <c r="J3" i="1"/>
  <c r="K3" i="1" s="1"/>
  <c r="J4" i="1"/>
  <c r="J6" i="1"/>
  <c r="J7" i="1"/>
  <c r="K7" i="1" s="1"/>
  <c r="J8" i="1"/>
  <c r="J9" i="1"/>
  <c r="J10" i="1"/>
  <c r="J11" i="1"/>
  <c r="K11" i="1" s="1"/>
  <c r="J12" i="1"/>
  <c r="J13" i="1"/>
  <c r="J16" i="1"/>
  <c r="J17" i="1"/>
  <c r="K17" i="1" s="1"/>
  <c r="J18" i="1"/>
  <c r="J19" i="1"/>
  <c r="K19" i="1" s="1"/>
  <c r="J20" i="1"/>
  <c r="J21" i="1"/>
  <c r="J22" i="1"/>
  <c r="J23" i="1"/>
  <c r="J25" i="1"/>
  <c r="J27" i="1"/>
  <c r="J29" i="1"/>
  <c r="J32" i="1"/>
  <c r="K32" i="1" s="1"/>
  <c r="J33" i="1"/>
  <c r="J35" i="1"/>
  <c r="J37" i="1"/>
  <c r="L38" i="1"/>
  <c r="L40" i="1"/>
  <c r="J41" i="1"/>
  <c r="L42" i="1"/>
  <c r="J43" i="1"/>
  <c r="J45" i="1"/>
  <c r="J48" i="1"/>
  <c r="L55" i="1"/>
  <c r="M55" i="1" s="1"/>
  <c r="J56" i="1"/>
  <c r="J57" i="1"/>
  <c r="J60" i="1"/>
  <c r="J61" i="1"/>
  <c r="L62" i="1"/>
  <c r="J66" i="1"/>
  <c r="J70" i="1"/>
  <c r="J73" i="1"/>
  <c r="J75" i="1"/>
  <c r="J79" i="1"/>
  <c r="J81" i="1"/>
  <c r="L82" i="1"/>
  <c r="J84" i="1"/>
  <c r="J88" i="1"/>
  <c r="K88" i="1" s="1"/>
  <c r="J89" i="1"/>
  <c r="K89" i="1" s="1"/>
  <c r="J90" i="1"/>
  <c r="J93" i="1"/>
  <c r="K97" i="1"/>
  <c r="L24" i="1" l="1"/>
  <c r="L50" i="1"/>
  <c r="L47" i="1"/>
  <c r="L28" i="1"/>
  <c r="L87" i="1"/>
  <c r="L83" i="1"/>
  <c r="M83" i="1" s="1"/>
  <c r="L78" i="1"/>
  <c r="L74" i="1"/>
  <c r="M74" i="1" s="1"/>
  <c r="L65" i="1"/>
  <c r="L59" i="1"/>
  <c r="M59" i="1" s="1"/>
  <c r="L54" i="1"/>
  <c r="L46" i="1"/>
  <c r="M46" i="1" s="1"/>
  <c r="L36" i="1"/>
  <c r="L34" i="1"/>
  <c r="M34" i="1" s="1"/>
  <c r="L91" i="1"/>
  <c r="L49" i="1"/>
  <c r="M49" i="1" s="1"/>
  <c r="K93" i="1"/>
  <c r="L93" i="1"/>
  <c r="K90" i="1"/>
  <c r="L90" i="1"/>
  <c r="K84" i="1"/>
  <c r="L84" i="1"/>
  <c r="M82" i="1"/>
  <c r="N82" i="1"/>
  <c r="O82" i="1" s="1"/>
  <c r="K79" i="1"/>
  <c r="L79" i="1"/>
  <c r="M79" i="1" s="1"/>
  <c r="K75" i="1"/>
  <c r="L75" i="1"/>
  <c r="M75" i="1" s="1"/>
  <c r="K73" i="1"/>
  <c r="L73" i="1"/>
  <c r="K66" i="1"/>
  <c r="L66" i="1"/>
  <c r="M66" i="1" s="1"/>
  <c r="M62" i="1"/>
  <c r="N62" i="1"/>
  <c r="O62" i="1" s="1"/>
  <c r="K60" i="1"/>
  <c r="L60" i="1"/>
  <c r="K57" i="1"/>
  <c r="L57" i="1"/>
  <c r="M50" i="1"/>
  <c r="N50" i="1"/>
  <c r="K48" i="1"/>
  <c r="L48" i="1"/>
  <c r="M48" i="1" s="1"/>
  <c r="N46" i="1"/>
  <c r="O46" i="1" s="1"/>
  <c r="K43" i="1"/>
  <c r="L43" i="1"/>
  <c r="K41" i="1"/>
  <c r="L41" i="1"/>
  <c r="M38" i="1"/>
  <c r="N38" i="1"/>
  <c r="M36" i="1"/>
  <c r="N36" i="1"/>
  <c r="M28" i="1"/>
  <c r="N28" i="1"/>
  <c r="K25" i="1"/>
  <c r="L25" i="1"/>
  <c r="K23" i="1"/>
  <c r="L23" i="1"/>
  <c r="K21" i="1"/>
  <c r="L21" i="1"/>
  <c r="M21" i="1" s="1"/>
  <c r="K13" i="1"/>
  <c r="L13" i="1"/>
  <c r="M13" i="1" s="1"/>
  <c r="K9" i="1"/>
  <c r="L9" i="1"/>
  <c r="K4" i="1"/>
  <c r="L4" i="1"/>
  <c r="K2" i="1"/>
  <c r="L2" i="1"/>
  <c r="J95" i="1"/>
  <c r="I95" i="1"/>
  <c r="M91" i="1"/>
  <c r="N91" i="1"/>
  <c r="O91" i="1" s="1"/>
  <c r="M87" i="1"/>
  <c r="N87" i="1"/>
  <c r="K81" i="1"/>
  <c r="L81" i="1"/>
  <c r="M78" i="1"/>
  <c r="N78" i="1"/>
  <c r="N74" i="1"/>
  <c r="K70" i="1"/>
  <c r="L70" i="1"/>
  <c r="M65" i="1"/>
  <c r="N65" i="1"/>
  <c r="K61" i="1"/>
  <c r="L61" i="1"/>
  <c r="K56" i="1"/>
  <c r="L56" i="1"/>
  <c r="M54" i="1"/>
  <c r="N54" i="1"/>
  <c r="O54" i="1" s="1"/>
  <c r="N49" i="1"/>
  <c r="O49" i="1" s="1"/>
  <c r="M47" i="1"/>
  <c r="N47" i="1"/>
  <c r="K45" i="1"/>
  <c r="L45" i="1"/>
  <c r="M42" i="1"/>
  <c r="N42" i="1"/>
  <c r="M40" i="1"/>
  <c r="N40" i="1"/>
  <c r="K37" i="1"/>
  <c r="L37" i="1"/>
  <c r="M37" i="1" s="1"/>
  <c r="K35" i="1"/>
  <c r="L35" i="1"/>
  <c r="K33" i="1"/>
  <c r="L33" i="1"/>
  <c r="K29" i="1"/>
  <c r="L29" i="1"/>
  <c r="K27" i="1"/>
  <c r="L27" i="1"/>
  <c r="M24" i="1"/>
  <c r="N24" i="1"/>
  <c r="K22" i="1"/>
  <c r="L22" i="1"/>
  <c r="M22" i="1" s="1"/>
  <c r="K20" i="1"/>
  <c r="L20" i="1"/>
  <c r="K18" i="1"/>
  <c r="L18" i="1"/>
  <c r="K16" i="1"/>
  <c r="L16" i="1"/>
  <c r="K12" i="1"/>
  <c r="L12" i="1"/>
  <c r="M12" i="1" s="1"/>
  <c r="K10" i="1"/>
  <c r="L10" i="1"/>
  <c r="K8" i="1"/>
  <c r="L8" i="1"/>
  <c r="M8" i="1" s="1"/>
  <c r="K6" i="1"/>
  <c r="L6" i="1"/>
  <c r="M6" i="1" l="1"/>
  <c r="N6" i="1"/>
  <c r="M10" i="1"/>
  <c r="N10" i="1"/>
  <c r="O10" i="1" s="1"/>
  <c r="M16" i="1"/>
  <c r="N16" i="1"/>
  <c r="O16" i="1" s="1"/>
  <c r="M18" i="1"/>
  <c r="N18" i="1"/>
  <c r="M20" i="1"/>
  <c r="N20" i="1"/>
  <c r="O20" i="1" s="1"/>
  <c r="O24" i="1"/>
  <c r="P24" i="1"/>
  <c r="Q24" i="1" s="1"/>
  <c r="M27" i="1"/>
  <c r="N27" i="1"/>
  <c r="M29" i="1"/>
  <c r="N29" i="1"/>
  <c r="M33" i="1"/>
  <c r="N33" i="1"/>
  <c r="M35" i="1"/>
  <c r="N35" i="1"/>
  <c r="O40" i="1"/>
  <c r="P40" i="1"/>
  <c r="Q40" i="1" s="1"/>
  <c r="O42" i="1"/>
  <c r="P42" i="1"/>
  <c r="Q42" i="1" s="1"/>
  <c r="M45" i="1"/>
  <c r="N45" i="1"/>
  <c r="O47" i="1"/>
  <c r="P47" i="1"/>
  <c r="Q47" i="1" s="1"/>
  <c r="M56" i="1"/>
  <c r="N56" i="1"/>
  <c r="O56" i="1" s="1"/>
  <c r="M61" i="1"/>
  <c r="N61" i="1"/>
  <c r="O65" i="1"/>
  <c r="P65" i="1"/>
  <c r="Q65" i="1" s="1"/>
  <c r="M70" i="1"/>
  <c r="N70" i="1"/>
  <c r="O74" i="1"/>
  <c r="P74" i="1"/>
  <c r="Q74" i="1" s="1"/>
  <c r="O78" i="1"/>
  <c r="P78" i="1"/>
  <c r="Q78" i="1" s="1"/>
  <c r="M81" i="1"/>
  <c r="N81" i="1"/>
  <c r="O87" i="1"/>
  <c r="P87" i="1"/>
  <c r="Q87" i="1" s="1"/>
  <c r="M2" i="1"/>
  <c r="N2" i="1"/>
  <c r="O2" i="1" s="1"/>
  <c r="M4" i="1"/>
  <c r="N4" i="1"/>
  <c r="M9" i="1"/>
  <c r="N9" i="1"/>
  <c r="M23" i="1"/>
  <c r="N23" i="1"/>
  <c r="M25" i="1"/>
  <c r="N25" i="1"/>
  <c r="O28" i="1"/>
  <c r="P28" i="1"/>
  <c r="Q28" i="1" s="1"/>
  <c r="O36" i="1"/>
  <c r="P36" i="1"/>
  <c r="Q36" i="1" s="1"/>
  <c r="O38" i="1"/>
  <c r="P38" i="1"/>
  <c r="Q38" i="1" s="1"/>
  <c r="M41" i="1"/>
  <c r="N41" i="1"/>
  <c r="M43" i="1"/>
  <c r="N43" i="1"/>
  <c r="O50" i="1"/>
  <c r="P50" i="1"/>
  <c r="Q50" i="1" s="1"/>
  <c r="M57" i="1"/>
  <c r="N57" i="1"/>
  <c r="M60" i="1"/>
  <c r="N60" i="1"/>
  <c r="O60" i="1" s="1"/>
  <c r="M73" i="1"/>
  <c r="N73" i="1"/>
  <c r="M84" i="1"/>
  <c r="N84" i="1"/>
  <c r="M90" i="1"/>
  <c r="N90" i="1"/>
  <c r="M93" i="1"/>
  <c r="N93" i="1"/>
  <c r="L95" i="1"/>
  <c r="K95" i="1"/>
  <c r="N95" i="1" l="1"/>
  <c r="M95" i="1"/>
  <c r="O93" i="1"/>
  <c r="P93" i="1"/>
  <c r="Q93" i="1" s="1"/>
  <c r="O90" i="1"/>
  <c r="P90" i="1"/>
  <c r="Q90" i="1" s="1"/>
  <c r="O84" i="1"/>
  <c r="P84" i="1"/>
  <c r="Q84" i="1" s="1"/>
  <c r="O73" i="1"/>
  <c r="P73" i="1"/>
  <c r="Q73" i="1" s="1"/>
  <c r="O57" i="1"/>
  <c r="P57" i="1"/>
  <c r="Q57" i="1" s="1"/>
  <c r="O43" i="1"/>
  <c r="P43" i="1"/>
  <c r="Q43" i="1" s="1"/>
  <c r="O41" i="1"/>
  <c r="P41" i="1"/>
  <c r="Q41" i="1" s="1"/>
  <c r="O25" i="1"/>
  <c r="P25" i="1"/>
  <c r="Q25" i="1" s="1"/>
  <c r="O23" i="1"/>
  <c r="P23" i="1"/>
  <c r="Q23" i="1" s="1"/>
  <c r="O9" i="1"/>
  <c r="P9" i="1"/>
  <c r="Q9" i="1" s="1"/>
  <c r="O4" i="1"/>
  <c r="P4" i="1"/>
  <c r="Q4" i="1" s="1"/>
  <c r="O81" i="1"/>
  <c r="P81" i="1"/>
  <c r="Q81" i="1" s="1"/>
  <c r="O70" i="1"/>
  <c r="P70" i="1"/>
  <c r="Q70" i="1" s="1"/>
  <c r="O61" i="1"/>
  <c r="P61" i="1"/>
  <c r="Q61" i="1" s="1"/>
  <c r="O45" i="1"/>
  <c r="P45" i="1"/>
  <c r="Q45" i="1" s="1"/>
  <c r="O35" i="1"/>
  <c r="P35" i="1"/>
  <c r="Q35" i="1" s="1"/>
  <c r="O33" i="1"/>
  <c r="P33" i="1"/>
  <c r="Q33" i="1" s="1"/>
  <c r="O29" i="1"/>
  <c r="P29" i="1"/>
  <c r="Q29" i="1" s="1"/>
  <c r="O27" i="1"/>
  <c r="P27" i="1"/>
  <c r="Q27" i="1" s="1"/>
  <c r="O18" i="1"/>
  <c r="P18" i="1"/>
  <c r="Q18" i="1" s="1"/>
  <c r="O6" i="1"/>
  <c r="P6" i="1"/>
  <c r="Q6" i="1" s="1"/>
  <c r="P95" i="1" l="1"/>
  <c r="Q95" i="1" s="1"/>
  <c r="O95" i="1"/>
</calcChain>
</file>

<file path=xl/sharedStrings.xml><?xml version="1.0" encoding="utf-8"?>
<sst xmlns="http://schemas.openxmlformats.org/spreadsheetml/2006/main" count="204" uniqueCount="105">
  <si>
    <t>Município</t>
  </si>
  <si>
    <t>Regime</t>
  </si>
  <si>
    <t>Nº Precatórios</t>
  </si>
  <si>
    <t>Valor dos Precatórios</t>
  </si>
  <si>
    <t>RCL - 2014</t>
  </si>
  <si>
    <t>Precatórios sobre RCL</t>
  </si>
  <si>
    <t>Mínimo de 1% da RCL</t>
  </si>
  <si>
    <t>Resultado</t>
  </si>
  <si>
    <t>Aberlardo Luz</t>
  </si>
  <si>
    <t>Especial - Art. 97 ADCT</t>
  </si>
  <si>
    <t>Alfredo Wagner</t>
  </si>
  <si>
    <t>Anchieta</t>
  </si>
  <si>
    <t>Angelina</t>
  </si>
  <si>
    <t>Araranguá</t>
  </si>
  <si>
    <t xml:space="preserve"> Balneário Arroio do Silva</t>
  </si>
  <si>
    <t xml:space="preserve"> Balneário Barra do Sul</t>
  </si>
  <si>
    <t xml:space="preserve"> Balneário Gaivota</t>
  </si>
  <si>
    <t xml:space="preserve"> Balneário Piçarras</t>
  </si>
  <si>
    <t xml:space="preserve"> Barra Velha</t>
  </si>
  <si>
    <t xml:space="preserve"> Biguaçu</t>
  </si>
  <si>
    <t xml:space="preserve"> Blumenau</t>
  </si>
  <si>
    <t xml:space="preserve"> Bocaina do Sul</t>
  </si>
  <si>
    <t xml:space="preserve"> Bom Jardim da Serra</t>
  </si>
  <si>
    <t xml:space="preserve"> Brusque</t>
  </si>
  <si>
    <t xml:space="preserve"> Camboriú</t>
  </si>
  <si>
    <t xml:space="preserve"> Campo Erê</t>
  </si>
  <si>
    <t xml:space="preserve"> Campos Novos</t>
  </si>
  <si>
    <t xml:space="preserve"> Canoinhas</t>
  </si>
  <si>
    <t xml:space="preserve"> Capivari de Baixo</t>
  </si>
  <si>
    <t xml:space="preserve"> Caxambu do Sul</t>
  </si>
  <si>
    <t xml:space="preserve"> Chapecó</t>
  </si>
  <si>
    <t xml:space="preserve"> Correia Pinto</t>
  </si>
  <si>
    <t xml:space="preserve"> Criciúma</t>
  </si>
  <si>
    <t xml:space="preserve"> Cunha Porã</t>
  </si>
  <si>
    <t xml:space="preserve"> Dionísio Cerqueira</t>
  </si>
  <si>
    <t xml:space="preserve"> Erval Velho</t>
  </si>
  <si>
    <t xml:space="preserve"> Florianópolis</t>
  </si>
  <si>
    <t xml:space="preserve"> Galvão</t>
  </si>
  <si>
    <t xml:space="preserve"> Garuva</t>
  </si>
  <si>
    <t xml:space="preserve"> Governador Celso Ramos</t>
  </si>
  <si>
    <t xml:space="preserve"> Gravatal</t>
  </si>
  <si>
    <t xml:space="preserve"> Guaraciaba</t>
  </si>
  <si>
    <t xml:space="preserve"> Içara</t>
  </si>
  <si>
    <t xml:space="preserve"> Ilhota</t>
  </si>
  <si>
    <t xml:space="preserve"> Imaruí</t>
  </si>
  <si>
    <t xml:space="preserve"> Imbituba</t>
  </si>
  <si>
    <t xml:space="preserve"> Irani</t>
  </si>
  <si>
    <t xml:space="preserve"> Irati</t>
  </si>
  <si>
    <t xml:space="preserve"> Ituporanga</t>
  </si>
  <si>
    <t xml:space="preserve"> Jacinto Machado</t>
  </si>
  <si>
    <t xml:space="preserve"> Jaguaruna</t>
  </si>
  <si>
    <t xml:space="preserve"> Jardinópolis</t>
  </si>
  <si>
    <t xml:space="preserve"> Lages</t>
  </si>
  <si>
    <t xml:space="preserve"> Laguna</t>
  </si>
  <si>
    <t xml:space="preserve"> Lauro Muller</t>
  </si>
  <si>
    <t xml:space="preserve"> Lebon Régis</t>
  </si>
  <si>
    <t xml:space="preserve"> Mafra</t>
  </si>
  <si>
    <t xml:space="preserve"> Major Vieira</t>
  </si>
  <si>
    <t xml:space="preserve"> Maracajá</t>
  </si>
  <si>
    <t xml:space="preserve"> Maravilha</t>
  </si>
  <si>
    <t xml:space="preserve"> Matos Costa</t>
  </si>
  <si>
    <t xml:space="preserve"> Meleiro</t>
  </si>
  <si>
    <t xml:space="preserve"> Modelo</t>
  </si>
  <si>
    <t xml:space="preserve"> Monte Carlo</t>
  </si>
  <si>
    <t xml:space="preserve"> Morro da Fumaça</t>
  </si>
  <si>
    <t xml:space="preserve"> Nova Trento</t>
  </si>
  <si>
    <t xml:space="preserve"> Nova Veneza</t>
  </si>
  <si>
    <t xml:space="preserve"> Orleans</t>
  </si>
  <si>
    <t xml:space="preserve"> Otacílio Costa</t>
  </si>
  <si>
    <t xml:space="preserve"> Ouro Verde</t>
  </si>
  <si>
    <t xml:space="preserve"> Palhoça</t>
  </si>
  <si>
    <t xml:space="preserve"> Palmitos</t>
  </si>
  <si>
    <t xml:space="preserve"> Paulo Lopes</t>
  </si>
  <si>
    <t xml:space="preserve"> Pedras Grandes</t>
  </si>
  <si>
    <t xml:space="preserve"> Pinhalzinho</t>
  </si>
  <si>
    <t xml:space="preserve"> Ponte Serrada</t>
  </si>
  <si>
    <t xml:space="preserve"> Porto Belo</t>
  </si>
  <si>
    <t xml:space="preserve"> Praia Grande</t>
  </si>
  <si>
    <t xml:space="preserve"> Presidente Getúlio</t>
  </si>
  <si>
    <t xml:space="preserve"> Presidente Nereu</t>
  </si>
  <si>
    <t xml:space="preserve"> Romelândia</t>
  </si>
  <si>
    <t xml:space="preserve"> Santa Cecília</t>
  </si>
  <si>
    <t xml:space="preserve"> Santa Rosa do Sul</t>
  </si>
  <si>
    <t xml:space="preserve"> São Bento do Sul</t>
  </si>
  <si>
    <t xml:space="preserve"> São Domingos</t>
  </si>
  <si>
    <t xml:space="preserve"> São Francisco do Sul</t>
  </si>
  <si>
    <t xml:space="preserve"> São João Batista</t>
  </si>
  <si>
    <t xml:space="preserve"> São João do Sul</t>
  </si>
  <si>
    <t xml:space="preserve"> São Joaquim</t>
  </si>
  <si>
    <t xml:space="preserve"> São José</t>
  </si>
  <si>
    <t xml:space="preserve"> São José do Cerrito</t>
  </si>
  <si>
    <t xml:space="preserve"> São Lourenço do Oeste</t>
  </si>
  <si>
    <t xml:space="preserve"> São Miguel do Oeste</t>
  </si>
  <si>
    <t xml:space="preserve"> Seara</t>
  </si>
  <si>
    <t xml:space="preserve"> Siderópolis</t>
  </si>
  <si>
    <t xml:space="preserve"> Sombrio</t>
  </si>
  <si>
    <t xml:space="preserve"> Taió</t>
  </si>
  <si>
    <t xml:space="preserve"> Timbé do Sul</t>
  </si>
  <si>
    <t>Três Barras</t>
  </si>
  <si>
    <t xml:space="preserve"> Treze de Maio</t>
  </si>
  <si>
    <t xml:space="preserve"> Tubarão</t>
  </si>
  <si>
    <t xml:space="preserve"> Turvo</t>
  </si>
  <si>
    <t xml:space="preserve"> Urussanga</t>
  </si>
  <si>
    <t xml:space="preserve"> Vidal Ramos</t>
  </si>
  <si>
    <t xml:space="preserve"> Xanxerê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</si>
</sst>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Protection="1">
      <protection locked="0"/>
    </xf>
    <xf numFmtId="44" fontId="3" fillId="2" borderId="1" xfId="1" applyFont="1" applyFill="1" applyBorder="1" applyProtection="1">
      <protection locked="0"/>
    </xf>
    <xf numFmtId="44" fontId="3" fillId="2" borderId="1" xfId="1" applyFont="1" applyFill="1" applyBorder="1" applyAlignment="1" applyProtection="1">
      <alignment horizontal="right"/>
      <protection locked="0"/>
    </xf>
    <xf numFmtId="10" fontId="3" fillId="2" borderId="1" xfId="2" applyNumberFormat="1" applyFont="1" applyFill="1" applyBorder="1" applyProtection="1">
      <protection locked="0"/>
    </xf>
    <xf numFmtId="44" fontId="3" fillId="3" borderId="1" xfId="0" applyNumberFormat="1" applyFont="1" applyFill="1" applyBorder="1" applyProtection="1">
      <protection locked="0"/>
    </xf>
    <xf numFmtId="44" fontId="3" fillId="4" borderId="1" xfId="0" applyNumberFormat="1" applyFont="1" applyFill="1" applyBorder="1" applyProtection="1">
      <protection locked="0"/>
    </xf>
    <xf numFmtId="44" fontId="3" fillId="5" borderId="1" xfId="0" applyNumberFormat="1" applyFont="1" applyFill="1" applyBorder="1" applyProtection="1">
      <protection locked="0"/>
    </xf>
    <xf numFmtId="44" fontId="3" fillId="6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44" fontId="2" fillId="2" borderId="1" xfId="1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3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3" fillId="2" borderId="1" xfId="0" applyFont="1" applyFill="1" applyBorder="1" applyProtection="1"/>
    <xf numFmtId="10" fontId="3" fillId="2" borderId="0" xfId="0" applyNumberFormat="1" applyFont="1" applyFill="1" applyProtection="1"/>
    <xf numFmtId="44" fontId="3" fillId="2" borderId="0" xfId="0" applyNumberFormat="1" applyFont="1" applyFill="1" applyProtection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workbookViewId="0">
      <pane ySplit="1" topLeftCell="A53" activePane="bottomLeft" state="frozen"/>
      <selection pane="bottomLeft" activeCell="D66" sqref="D66"/>
    </sheetView>
  </sheetViews>
  <sheetFormatPr defaultRowHeight="12.75" x14ac:dyDescent="0.2"/>
  <cols>
    <col min="1" max="1" width="21" style="19" bestFit="1" customWidth="1"/>
    <col min="2" max="2" width="19.5703125" style="19" bestFit="1" customWidth="1"/>
    <col min="3" max="3" width="12.42578125" style="19" bestFit="1" customWidth="1"/>
    <col min="4" max="4" width="19.42578125" style="19" bestFit="1" customWidth="1"/>
    <col min="5" max="5" width="16.7109375" style="19" bestFit="1" customWidth="1"/>
    <col min="6" max="6" width="19.42578125" style="19" customWidth="1"/>
    <col min="7" max="7" width="20.7109375" style="19" bestFit="1" customWidth="1"/>
    <col min="8" max="8" width="14.5703125" style="19" bestFit="1" customWidth="1"/>
    <col min="9" max="9" width="18.7109375" style="19" customWidth="1"/>
    <col min="10" max="10" width="14.5703125" style="19" bestFit="1" customWidth="1"/>
    <col min="11" max="11" width="15.28515625" style="19" bestFit="1" customWidth="1"/>
    <col min="12" max="12" width="15.5703125" style="19" customWidth="1"/>
    <col min="13" max="13" width="15.28515625" style="19" bestFit="1" customWidth="1"/>
    <col min="14" max="14" width="14.5703125" style="19" bestFit="1" customWidth="1"/>
    <col min="15" max="15" width="15.28515625" style="19" bestFit="1" customWidth="1"/>
    <col min="16" max="16" width="14.5703125" style="19" bestFit="1" customWidth="1"/>
    <col min="17" max="17" width="18.7109375" style="19" bestFit="1" customWidth="1"/>
    <col min="18" max="16384" width="9.140625" style="19"/>
  </cols>
  <sheetData>
    <row r="1" spans="1:17" x14ac:dyDescent="0.2">
      <c r="A1" s="12" t="s">
        <v>0</v>
      </c>
      <c r="B1" s="12" t="s">
        <v>1</v>
      </c>
      <c r="C1" s="12" t="s">
        <v>2</v>
      </c>
      <c r="D1" s="13" t="s">
        <v>3</v>
      </c>
      <c r="E1" s="12" t="s">
        <v>4</v>
      </c>
      <c r="F1" s="14" t="s">
        <v>5</v>
      </c>
      <c r="G1" s="12" t="s">
        <v>6</v>
      </c>
      <c r="H1" s="15">
        <v>2016</v>
      </c>
      <c r="I1" s="15" t="s">
        <v>7</v>
      </c>
      <c r="J1" s="16">
        <v>2017</v>
      </c>
      <c r="K1" s="16" t="s">
        <v>7</v>
      </c>
      <c r="L1" s="17">
        <v>2018</v>
      </c>
      <c r="M1" s="17" t="s">
        <v>7</v>
      </c>
      <c r="N1" s="18">
        <v>2019</v>
      </c>
      <c r="O1" s="18" t="s">
        <v>7</v>
      </c>
      <c r="P1" s="16">
        <v>2020</v>
      </c>
      <c r="Q1" s="16" t="s">
        <v>7</v>
      </c>
    </row>
    <row r="2" spans="1:17" x14ac:dyDescent="0.2">
      <c r="A2" s="20" t="s">
        <v>8</v>
      </c>
      <c r="B2" s="1" t="s">
        <v>9</v>
      </c>
      <c r="C2" s="1">
        <v>35</v>
      </c>
      <c r="D2" s="2">
        <v>1421106.91</v>
      </c>
      <c r="E2" s="3">
        <v>46725253.240000002</v>
      </c>
      <c r="F2" s="4">
        <f t="shared" ref="F2:F65" si="0">D2/E2</f>
        <v>3.0414108248929414E-2</v>
      </c>
      <c r="G2" s="2">
        <f>E2*1%</f>
        <v>467252.53240000003</v>
      </c>
      <c r="H2" s="5">
        <f>D2-G2</f>
        <v>953854.37759999989</v>
      </c>
      <c r="I2" s="5" t="str">
        <f>IF(H2&lt;0,"Pagamento 1 ano", "saldo devedor")</f>
        <v>saldo devedor</v>
      </c>
      <c r="J2" s="6">
        <f>H2-G2</f>
        <v>486601.84519999987</v>
      </c>
      <c r="K2" s="6" t="str">
        <f>IF(J2&lt;0,"Pagamento 2 ano", "saldo devedor")</f>
        <v>saldo devedor</v>
      </c>
      <c r="L2" s="7">
        <f>J2-G2</f>
        <v>19349.31279999984</v>
      </c>
      <c r="M2" s="7" t="str">
        <f>IF(L2&lt;0,"Pagamento 3 ano", "saldo devedor")</f>
        <v>saldo devedor</v>
      </c>
      <c r="N2" s="8">
        <f>L2-G2</f>
        <v>-447903.21960000019</v>
      </c>
      <c r="O2" s="8" t="str">
        <f>IF(N2&lt;0,"Pagamento 4 ano", "saldo devedor")</f>
        <v>Pagamento 4 ano</v>
      </c>
      <c r="P2" s="9"/>
      <c r="Q2" s="9"/>
    </row>
    <row r="3" spans="1:17" x14ac:dyDescent="0.2">
      <c r="A3" s="20" t="s">
        <v>10</v>
      </c>
      <c r="B3" s="1" t="s">
        <v>9</v>
      </c>
      <c r="C3" s="1">
        <v>4</v>
      </c>
      <c r="D3" s="2">
        <v>259221.54</v>
      </c>
      <c r="E3" s="3">
        <v>17906870.260000002</v>
      </c>
      <c r="F3" s="4">
        <f t="shared" si="0"/>
        <v>1.4476094160298002E-2</v>
      </c>
      <c r="G3" s="2">
        <f t="shared" ref="G3:G66" si="1">E3*1%</f>
        <v>179068.70260000002</v>
      </c>
      <c r="H3" s="5">
        <f t="shared" ref="H3:H66" si="2">D3-G3</f>
        <v>80152.837399999989</v>
      </c>
      <c r="I3" s="5" t="str">
        <f t="shared" ref="I3:I66" si="3">IF(H3&lt;0,"Pagamento 1 ano", "saldo devedor")</f>
        <v>saldo devedor</v>
      </c>
      <c r="J3" s="6">
        <f>H3-G3</f>
        <v>-98915.865200000029</v>
      </c>
      <c r="K3" s="6" t="str">
        <f t="shared" ref="K3:K4" si="4">IF(J3&lt;0,"Pagamento 2 ano", "saldo devedor")</f>
        <v>Pagamento 2 ano</v>
      </c>
      <c r="L3" s="10"/>
      <c r="M3" s="10"/>
      <c r="N3" s="11"/>
      <c r="O3" s="11"/>
      <c r="P3" s="9"/>
      <c r="Q3" s="9"/>
    </row>
    <row r="4" spans="1:17" x14ac:dyDescent="0.2">
      <c r="A4" s="20" t="s">
        <v>11</v>
      </c>
      <c r="B4" s="1" t="s">
        <v>9</v>
      </c>
      <c r="C4" s="1">
        <v>15</v>
      </c>
      <c r="D4" s="2">
        <v>1137200.01</v>
      </c>
      <c r="E4" s="3">
        <v>14605933</v>
      </c>
      <c r="F4" s="4">
        <f t="shared" si="0"/>
        <v>7.7858772185248282E-2</v>
      </c>
      <c r="G4" s="2">
        <f t="shared" si="1"/>
        <v>146059.33000000002</v>
      </c>
      <c r="H4" s="5">
        <f t="shared" si="2"/>
        <v>991140.67999999993</v>
      </c>
      <c r="I4" s="5" t="str">
        <f t="shared" si="3"/>
        <v>saldo devedor</v>
      </c>
      <c r="J4" s="6">
        <f>H4-G4</f>
        <v>845081.34999999986</v>
      </c>
      <c r="K4" s="6" t="str">
        <f t="shared" si="4"/>
        <v>saldo devedor</v>
      </c>
      <c r="L4" s="7">
        <f>J4-G4</f>
        <v>699022.01999999979</v>
      </c>
      <c r="M4" s="7" t="str">
        <f>IF(L4&lt;0,"Pagamento 3 ano", "saldo devedor")</f>
        <v>saldo devedor</v>
      </c>
      <c r="N4" s="8">
        <f>L4-G4</f>
        <v>552962.68999999971</v>
      </c>
      <c r="O4" s="8" t="str">
        <f>IF(N4&lt;0,"Pagamento 4 ano", "saldo devedor")</f>
        <v>saldo devedor</v>
      </c>
      <c r="P4" s="6">
        <f>N4</f>
        <v>552962.68999999971</v>
      </c>
      <c r="Q4" s="6" t="str">
        <f>IF(P4&lt;0,"Pagamento 5 ano", "saldo a ser Liquidado")</f>
        <v>saldo a ser Liquidado</v>
      </c>
    </row>
    <row r="5" spans="1:17" x14ac:dyDescent="0.2">
      <c r="A5" s="20" t="s">
        <v>12</v>
      </c>
      <c r="B5" s="1" t="s">
        <v>9</v>
      </c>
      <c r="C5" s="1">
        <v>1</v>
      </c>
      <c r="D5" s="2">
        <v>72036.39</v>
      </c>
      <c r="E5" s="3">
        <v>14427345.960000001</v>
      </c>
      <c r="F5" s="4">
        <f t="shared" si="0"/>
        <v>4.9930451657374687E-3</v>
      </c>
      <c r="G5" s="2">
        <f t="shared" si="1"/>
        <v>144273.4596</v>
      </c>
      <c r="H5" s="5">
        <f t="shared" si="2"/>
        <v>-72237.069600000003</v>
      </c>
      <c r="I5" s="5" t="str">
        <f t="shared" si="3"/>
        <v>Pagamento 1 ano</v>
      </c>
      <c r="J5" s="9"/>
      <c r="K5" s="9"/>
      <c r="L5" s="10"/>
      <c r="M5" s="10"/>
      <c r="N5" s="11"/>
      <c r="O5" s="11"/>
      <c r="P5" s="9"/>
      <c r="Q5" s="9"/>
    </row>
    <row r="6" spans="1:17" x14ac:dyDescent="0.2">
      <c r="A6" s="20" t="s">
        <v>13</v>
      </c>
      <c r="B6" s="1" t="s">
        <v>9</v>
      </c>
      <c r="C6" s="1">
        <v>173</v>
      </c>
      <c r="D6" s="2">
        <v>28008649.75</v>
      </c>
      <c r="E6" s="3">
        <v>108580608.53</v>
      </c>
      <c r="F6" s="4">
        <f t="shared" si="0"/>
        <v>0.25795259511979457</v>
      </c>
      <c r="G6" s="2">
        <f t="shared" si="1"/>
        <v>1085806.0852999999</v>
      </c>
      <c r="H6" s="5">
        <f t="shared" si="2"/>
        <v>26922843.664700001</v>
      </c>
      <c r="I6" s="5" t="str">
        <f t="shared" si="3"/>
        <v>saldo devedor</v>
      </c>
      <c r="J6" s="6">
        <f>H6-G6</f>
        <v>25837037.579400003</v>
      </c>
      <c r="K6" s="6" t="str">
        <f t="shared" ref="K6:K13" si="5">IF(J6&lt;0,"Pagamento 2 ano", "saldo devedor")</f>
        <v>saldo devedor</v>
      </c>
      <c r="L6" s="7">
        <f>J6-G6</f>
        <v>24751231.494100004</v>
      </c>
      <c r="M6" s="7" t="str">
        <f>IF(L6&lt;0,"Pagamento 3 ano", "saldo devedor")</f>
        <v>saldo devedor</v>
      </c>
      <c r="N6" s="8">
        <f>L6-G6</f>
        <v>23665425.408800006</v>
      </c>
      <c r="O6" s="8" t="str">
        <f>IF(N6&lt;0,"Pagamento 4 ano", "saldo devedor")</f>
        <v>saldo devedor</v>
      </c>
      <c r="P6" s="6">
        <f>N6</f>
        <v>23665425.408800006</v>
      </c>
      <c r="Q6" s="6" t="str">
        <f>IF(P6&lt;0,"Pagamento 5 ano", "saldo a ser Liquidado")</f>
        <v>saldo a ser Liquidado</v>
      </c>
    </row>
    <row r="7" spans="1:17" x14ac:dyDescent="0.2">
      <c r="A7" s="20" t="s">
        <v>14</v>
      </c>
      <c r="B7" s="1" t="s">
        <v>9</v>
      </c>
      <c r="C7" s="1">
        <v>11</v>
      </c>
      <c r="D7" s="2">
        <v>279282.15999999997</v>
      </c>
      <c r="E7" s="3">
        <v>24822286.129999999</v>
      </c>
      <c r="F7" s="4">
        <f t="shared" si="0"/>
        <v>1.1251266645519084E-2</v>
      </c>
      <c r="G7" s="2">
        <f>E7*1%</f>
        <v>248222.86129999999</v>
      </c>
      <c r="H7" s="5">
        <f t="shared" si="2"/>
        <v>31059.298699999985</v>
      </c>
      <c r="I7" s="5" t="str">
        <f t="shared" si="3"/>
        <v>saldo devedor</v>
      </c>
      <c r="J7" s="6">
        <f>H7-G7</f>
        <v>-217163.5626</v>
      </c>
      <c r="K7" s="6" t="str">
        <f t="shared" si="5"/>
        <v>Pagamento 2 ano</v>
      </c>
      <c r="L7" s="10"/>
      <c r="M7" s="10"/>
      <c r="N7" s="11"/>
      <c r="O7" s="11"/>
      <c r="P7" s="9"/>
      <c r="Q7" s="9"/>
    </row>
    <row r="8" spans="1:17" x14ac:dyDescent="0.2">
      <c r="A8" s="20" t="s">
        <v>15</v>
      </c>
      <c r="B8" s="1" t="s">
        <v>9</v>
      </c>
      <c r="C8" s="1">
        <v>13</v>
      </c>
      <c r="D8" s="2">
        <v>687971.83999999997</v>
      </c>
      <c r="E8" s="3">
        <v>27205292.120000001</v>
      </c>
      <c r="F8" s="4">
        <f t="shared" si="0"/>
        <v>2.5288162206287677E-2</v>
      </c>
      <c r="G8" s="2">
        <f t="shared" si="1"/>
        <v>272052.92120000004</v>
      </c>
      <c r="H8" s="5">
        <f t="shared" si="2"/>
        <v>415918.91879999993</v>
      </c>
      <c r="I8" s="5" t="str">
        <f t="shared" si="3"/>
        <v>saldo devedor</v>
      </c>
      <c r="J8" s="6">
        <f>H8-G8</f>
        <v>143865.99759999989</v>
      </c>
      <c r="K8" s="6" t="str">
        <f t="shared" si="5"/>
        <v>saldo devedor</v>
      </c>
      <c r="L8" s="7">
        <f t="shared" ref="L8:L10" si="6">J8-G8</f>
        <v>-128186.92360000015</v>
      </c>
      <c r="M8" s="7" t="str">
        <f t="shared" ref="M8:M10" si="7">IF(L8&lt;0,"Pagamento 3 ano", "saldo devedor")</f>
        <v>Pagamento 3 ano</v>
      </c>
      <c r="N8" s="11"/>
      <c r="O8" s="11"/>
      <c r="P8" s="9"/>
      <c r="Q8" s="9"/>
    </row>
    <row r="9" spans="1:17" x14ac:dyDescent="0.2">
      <c r="A9" s="20" t="s">
        <v>16</v>
      </c>
      <c r="B9" s="1" t="s">
        <v>9</v>
      </c>
      <c r="C9" s="1">
        <v>23</v>
      </c>
      <c r="D9" s="2">
        <v>1128153.79</v>
      </c>
      <c r="E9" s="3">
        <v>23892905.600000001</v>
      </c>
      <c r="F9" s="4">
        <f t="shared" si="0"/>
        <v>4.7217103222472863E-2</v>
      </c>
      <c r="G9" s="2">
        <f t="shared" si="1"/>
        <v>238929.05600000001</v>
      </c>
      <c r="H9" s="5">
        <f t="shared" si="2"/>
        <v>889224.73400000005</v>
      </c>
      <c r="I9" s="5" t="str">
        <f t="shared" si="3"/>
        <v>saldo devedor</v>
      </c>
      <c r="J9" s="6">
        <f>H9-G9</f>
        <v>650295.67800000007</v>
      </c>
      <c r="K9" s="6" t="str">
        <f t="shared" si="5"/>
        <v>saldo devedor</v>
      </c>
      <c r="L9" s="7">
        <f t="shared" si="6"/>
        <v>411366.62200000009</v>
      </c>
      <c r="M9" s="7" t="str">
        <f t="shared" si="7"/>
        <v>saldo devedor</v>
      </c>
      <c r="N9" s="8">
        <f t="shared" ref="N9:N10" si="8">L9-G9</f>
        <v>172437.56600000008</v>
      </c>
      <c r="O9" s="8" t="str">
        <f t="shared" ref="O9:O10" si="9">IF(N9&lt;0,"Pagamento 4 ano", "saldo devedor")</f>
        <v>saldo devedor</v>
      </c>
      <c r="P9" s="6">
        <f>N9</f>
        <v>172437.56600000008</v>
      </c>
      <c r="Q9" s="6" t="str">
        <f>IF(P9&lt;0,"Pagamento 5 ano", "saldo a ser Liquidado")</f>
        <v>saldo a ser Liquidado</v>
      </c>
    </row>
    <row r="10" spans="1:17" x14ac:dyDescent="0.2">
      <c r="A10" s="20" t="s">
        <v>17</v>
      </c>
      <c r="B10" s="1" t="s">
        <v>9</v>
      </c>
      <c r="C10" s="1">
        <v>19</v>
      </c>
      <c r="D10" s="2">
        <v>1843241.78</v>
      </c>
      <c r="E10" s="3">
        <v>60655895.170000002</v>
      </c>
      <c r="F10" s="4">
        <f t="shared" si="0"/>
        <v>3.0388501807350376E-2</v>
      </c>
      <c r="G10" s="2">
        <f t="shared" si="1"/>
        <v>606558.95169999998</v>
      </c>
      <c r="H10" s="5">
        <f t="shared" si="2"/>
        <v>1236682.8283000002</v>
      </c>
      <c r="I10" s="5" t="str">
        <f t="shared" si="3"/>
        <v>saldo devedor</v>
      </c>
      <c r="J10" s="6">
        <f t="shared" ref="J10:J13" si="10">H10-G10</f>
        <v>630123.87660000019</v>
      </c>
      <c r="K10" s="6" t="str">
        <f t="shared" si="5"/>
        <v>saldo devedor</v>
      </c>
      <c r="L10" s="7">
        <f t="shared" si="6"/>
        <v>23564.924900000216</v>
      </c>
      <c r="M10" s="7" t="str">
        <f t="shared" si="7"/>
        <v>saldo devedor</v>
      </c>
      <c r="N10" s="8">
        <f t="shared" si="8"/>
        <v>-582994.02679999976</v>
      </c>
      <c r="O10" s="8" t="str">
        <f t="shared" si="9"/>
        <v>Pagamento 4 ano</v>
      </c>
      <c r="P10" s="9"/>
      <c r="Q10" s="9"/>
    </row>
    <row r="11" spans="1:17" x14ac:dyDescent="0.2">
      <c r="A11" s="20" t="s">
        <v>18</v>
      </c>
      <c r="B11" s="1" t="s">
        <v>9</v>
      </c>
      <c r="C11" s="1">
        <v>7</v>
      </c>
      <c r="D11" s="2">
        <v>953233.93</v>
      </c>
      <c r="E11" s="3">
        <v>62049238.18</v>
      </c>
      <c r="F11" s="4">
        <f t="shared" si="0"/>
        <v>1.5362540426922613E-2</v>
      </c>
      <c r="G11" s="2">
        <f t="shared" si="1"/>
        <v>620492.38179999997</v>
      </c>
      <c r="H11" s="5">
        <f t="shared" si="2"/>
        <v>332741.54820000008</v>
      </c>
      <c r="I11" s="5" t="str">
        <f t="shared" si="3"/>
        <v>saldo devedor</v>
      </c>
      <c r="J11" s="6">
        <f t="shared" si="10"/>
        <v>-287750.8335999999</v>
      </c>
      <c r="K11" s="6" t="str">
        <f t="shared" si="5"/>
        <v>Pagamento 2 ano</v>
      </c>
      <c r="L11" s="10"/>
      <c r="M11" s="10"/>
      <c r="N11" s="11"/>
      <c r="O11" s="11"/>
      <c r="P11" s="9"/>
      <c r="Q11" s="9"/>
    </row>
    <row r="12" spans="1:17" x14ac:dyDescent="0.2">
      <c r="A12" s="20" t="s">
        <v>19</v>
      </c>
      <c r="B12" s="1" t="s">
        <v>9</v>
      </c>
      <c r="C12" s="1">
        <v>16</v>
      </c>
      <c r="D12" s="2">
        <v>3242543.08</v>
      </c>
      <c r="E12" s="3">
        <v>122553658.89</v>
      </c>
      <c r="F12" s="4">
        <f t="shared" si="0"/>
        <v>2.6458149918725776E-2</v>
      </c>
      <c r="G12" s="2">
        <f t="shared" si="1"/>
        <v>1225536.5889000001</v>
      </c>
      <c r="H12" s="5">
        <f t="shared" si="2"/>
        <v>2017006.4911</v>
      </c>
      <c r="I12" s="5" t="str">
        <f t="shared" si="3"/>
        <v>saldo devedor</v>
      </c>
      <c r="J12" s="6">
        <f t="shared" si="10"/>
        <v>791469.90219999989</v>
      </c>
      <c r="K12" s="6" t="str">
        <f t="shared" si="5"/>
        <v>saldo devedor</v>
      </c>
      <c r="L12" s="7">
        <f t="shared" ref="L12:L13" si="11">J12-G12</f>
        <v>-434066.68670000019</v>
      </c>
      <c r="M12" s="7" t="str">
        <f t="shared" ref="M12:M13" si="12">IF(L12&lt;0,"Pagamento 3 ano", "saldo devedor")</f>
        <v>Pagamento 3 ano</v>
      </c>
      <c r="N12" s="11"/>
      <c r="O12" s="11"/>
      <c r="P12" s="9"/>
      <c r="Q12" s="9"/>
    </row>
    <row r="13" spans="1:17" x14ac:dyDescent="0.2">
      <c r="A13" s="20" t="s">
        <v>20</v>
      </c>
      <c r="B13" s="1" t="s">
        <v>9</v>
      </c>
      <c r="C13" s="1">
        <v>38</v>
      </c>
      <c r="D13" s="2">
        <v>23460242.239999998</v>
      </c>
      <c r="E13" s="3">
        <v>979876029.25999999</v>
      </c>
      <c r="F13" s="4">
        <f>D13/E13</f>
        <v>2.3942051381455994E-2</v>
      </c>
      <c r="G13" s="2">
        <f t="shared" si="1"/>
        <v>9798760.2926000003</v>
      </c>
      <c r="H13" s="5">
        <f t="shared" si="2"/>
        <v>13661481.947399998</v>
      </c>
      <c r="I13" s="5" t="str">
        <f t="shared" si="3"/>
        <v>saldo devedor</v>
      </c>
      <c r="J13" s="6">
        <f t="shared" si="10"/>
        <v>3862721.6547999978</v>
      </c>
      <c r="K13" s="6" t="str">
        <f t="shared" si="5"/>
        <v>saldo devedor</v>
      </c>
      <c r="L13" s="7">
        <f t="shared" si="11"/>
        <v>-5936038.6378000025</v>
      </c>
      <c r="M13" s="7" t="str">
        <f t="shared" si="12"/>
        <v>Pagamento 3 ano</v>
      </c>
      <c r="N13" s="11"/>
      <c r="O13" s="11"/>
      <c r="P13" s="9"/>
      <c r="Q13" s="9"/>
    </row>
    <row r="14" spans="1:17" x14ac:dyDescent="0.2">
      <c r="A14" s="20" t="s">
        <v>21</v>
      </c>
      <c r="B14" s="1" t="s">
        <v>9</v>
      </c>
      <c r="C14" s="1">
        <v>2</v>
      </c>
      <c r="D14" s="2">
        <v>51580.09</v>
      </c>
      <c r="E14" s="3">
        <v>11678238.93</v>
      </c>
      <c r="F14" s="4">
        <f>D14/E14</f>
        <v>4.4167695411246391E-3</v>
      </c>
      <c r="G14" s="2">
        <f t="shared" si="1"/>
        <v>116782.3893</v>
      </c>
      <c r="H14" s="5">
        <f t="shared" si="2"/>
        <v>-65202.299299999999</v>
      </c>
      <c r="I14" s="5" t="str">
        <f t="shared" si="3"/>
        <v>Pagamento 1 ano</v>
      </c>
      <c r="J14" s="9"/>
      <c r="K14" s="9"/>
      <c r="L14" s="10"/>
      <c r="M14" s="10"/>
      <c r="N14" s="11"/>
      <c r="O14" s="11"/>
      <c r="P14" s="9"/>
      <c r="Q14" s="9"/>
    </row>
    <row r="15" spans="1:17" x14ac:dyDescent="0.2">
      <c r="A15" s="20" t="s">
        <v>22</v>
      </c>
      <c r="B15" s="1" t="s">
        <v>9</v>
      </c>
      <c r="C15" s="1">
        <v>4</v>
      </c>
      <c r="D15" s="2">
        <v>42806.15</v>
      </c>
      <c r="E15" s="3">
        <v>13002298.550000001</v>
      </c>
      <c r="F15" s="4">
        <f>D15/E15</f>
        <v>3.2921986705189135E-3</v>
      </c>
      <c r="G15" s="2">
        <f t="shared" si="1"/>
        <v>130022.98550000001</v>
      </c>
      <c r="H15" s="5">
        <f t="shared" si="2"/>
        <v>-87216.835500000016</v>
      </c>
      <c r="I15" s="5" t="str">
        <f t="shared" si="3"/>
        <v>Pagamento 1 ano</v>
      </c>
      <c r="J15" s="9"/>
      <c r="K15" s="9"/>
      <c r="L15" s="10"/>
      <c r="M15" s="10"/>
      <c r="N15" s="11"/>
      <c r="O15" s="11"/>
      <c r="P15" s="9"/>
      <c r="Q15" s="9"/>
    </row>
    <row r="16" spans="1:17" x14ac:dyDescent="0.2">
      <c r="A16" s="20" t="s">
        <v>23</v>
      </c>
      <c r="B16" s="1" t="s">
        <v>9</v>
      </c>
      <c r="C16" s="1">
        <v>57</v>
      </c>
      <c r="D16" s="2">
        <v>10785826.449999999</v>
      </c>
      <c r="E16" s="3">
        <v>274050609.17000002</v>
      </c>
      <c r="F16" s="4">
        <f t="shared" si="0"/>
        <v>3.9357060663599175E-2</v>
      </c>
      <c r="G16" s="2">
        <f t="shared" si="1"/>
        <v>2740506.0917000002</v>
      </c>
      <c r="H16" s="5">
        <f t="shared" si="2"/>
        <v>8045320.3582999986</v>
      </c>
      <c r="I16" s="5" t="str">
        <f t="shared" si="3"/>
        <v>saldo devedor</v>
      </c>
      <c r="J16" s="6">
        <f t="shared" ref="J16:J25" si="13">H16-G16</f>
        <v>5304814.2665999979</v>
      </c>
      <c r="K16" s="6" t="str">
        <f t="shared" ref="K16:K25" si="14">IF(J16&lt;0,"Pagamento 2 ano", "saldo devedor")</f>
        <v>saldo devedor</v>
      </c>
      <c r="L16" s="7">
        <f>J16-G16</f>
        <v>2564308.1748999977</v>
      </c>
      <c r="M16" s="7" t="str">
        <f>IF(L16&lt;0,"Pagamento 3 ano", "saldo devedor")</f>
        <v>saldo devedor</v>
      </c>
      <c r="N16" s="8">
        <f>L16-G16</f>
        <v>-176197.91680000257</v>
      </c>
      <c r="O16" s="8" t="str">
        <f>IF(N16&lt;0,"Pagamento 4 ano", "saldo devedor")</f>
        <v>Pagamento 4 ano</v>
      </c>
      <c r="P16" s="9"/>
      <c r="Q16" s="9"/>
    </row>
    <row r="17" spans="1:17" x14ac:dyDescent="0.2">
      <c r="A17" s="20" t="s">
        <v>24</v>
      </c>
      <c r="B17" s="1" t="s">
        <v>9</v>
      </c>
      <c r="C17" s="1">
        <v>6</v>
      </c>
      <c r="D17" s="2">
        <v>2197379.23</v>
      </c>
      <c r="E17" s="3">
        <v>137047995.69999999</v>
      </c>
      <c r="F17" s="4">
        <f>D17/E17</f>
        <v>1.6033647327539868E-2</v>
      </c>
      <c r="G17" s="2">
        <f t="shared" si="1"/>
        <v>1370479.9569999999</v>
      </c>
      <c r="H17" s="5">
        <f t="shared" si="2"/>
        <v>826899.27300000004</v>
      </c>
      <c r="I17" s="5" t="str">
        <f t="shared" si="3"/>
        <v>saldo devedor</v>
      </c>
      <c r="J17" s="6">
        <f t="shared" si="13"/>
        <v>-543580.68399999989</v>
      </c>
      <c r="K17" s="6" t="str">
        <f t="shared" si="14"/>
        <v>Pagamento 2 ano</v>
      </c>
      <c r="L17" s="10"/>
      <c r="M17" s="10"/>
      <c r="N17" s="11"/>
      <c r="O17" s="11"/>
      <c r="P17" s="9"/>
      <c r="Q17" s="9"/>
    </row>
    <row r="18" spans="1:17" x14ac:dyDescent="0.2">
      <c r="A18" s="20" t="s">
        <v>25</v>
      </c>
      <c r="B18" s="1" t="s">
        <v>9</v>
      </c>
      <c r="C18" s="1">
        <v>36</v>
      </c>
      <c r="D18" s="2">
        <v>2409793.7000000002</v>
      </c>
      <c r="E18" s="3">
        <v>21715039.829999998</v>
      </c>
      <c r="F18" s="4">
        <f>D18/E18</f>
        <v>0.11097348744766269</v>
      </c>
      <c r="G18" s="2">
        <f t="shared" si="1"/>
        <v>217150.3983</v>
      </c>
      <c r="H18" s="5">
        <f t="shared" si="2"/>
        <v>2192643.3017000002</v>
      </c>
      <c r="I18" s="5" t="str">
        <f t="shared" si="3"/>
        <v>saldo devedor</v>
      </c>
      <c r="J18" s="6">
        <f t="shared" si="13"/>
        <v>1975492.9034000002</v>
      </c>
      <c r="K18" s="6" t="str">
        <f t="shared" si="14"/>
        <v>saldo devedor</v>
      </c>
      <c r="L18" s="7">
        <f>J18-G18</f>
        <v>1758342.5051000002</v>
      </c>
      <c r="M18" s="7" t="str">
        <f>IF(L18&lt;0,"Pagamento 3 ano", "saldo devedor")</f>
        <v>saldo devedor</v>
      </c>
      <c r="N18" s="8">
        <f>L18-G18</f>
        <v>1541192.1068000002</v>
      </c>
      <c r="O18" s="8" t="str">
        <f>IF(N18&lt;0,"Pagamento 4 ano", "saldo devedor")</f>
        <v>saldo devedor</v>
      </c>
      <c r="P18" s="6">
        <f>N18</f>
        <v>1541192.1068000002</v>
      </c>
      <c r="Q18" s="6" t="str">
        <f>IF(P18&lt;0,"Pagamento 5 ano", "saldo a ser Liquidado")</f>
        <v>saldo a ser Liquidado</v>
      </c>
    </row>
    <row r="19" spans="1:17" x14ac:dyDescent="0.2">
      <c r="A19" s="20" t="s">
        <v>26</v>
      </c>
      <c r="B19" s="1" t="s">
        <v>9</v>
      </c>
      <c r="C19" s="1">
        <v>25</v>
      </c>
      <c r="D19" s="2">
        <v>1447175.17</v>
      </c>
      <c r="E19" s="3">
        <v>96560658.930000007</v>
      </c>
      <c r="F19" s="4">
        <f>D19/E19</f>
        <v>1.4987213074520387E-2</v>
      </c>
      <c r="G19" s="2">
        <f t="shared" si="1"/>
        <v>965606.58930000011</v>
      </c>
      <c r="H19" s="5">
        <f t="shared" si="2"/>
        <v>481568.58069999982</v>
      </c>
      <c r="I19" s="5" t="str">
        <f t="shared" si="3"/>
        <v>saldo devedor</v>
      </c>
      <c r="J19" s="6">
        <f t="shared" si="13"/>
        <v>-484038.00860000029</v>
      </c>
      <c r="K19" s="6" t="str">
        <f t="shared" si="14"/>
        <v>Pagamento 2 ano</v>
      </c>
      <c r="L19" s="10"/>
      <c r="M19" s="10"/>
      <c r="N19" s="11"/>
      <c r="O19" s="11"/>
      <c r="P19" s="9"/>
      <c r="Q19" s="9"/>
    </row>
    <row r="20" spans="1:17" x14ac:dyDescent="0.2">
      <c r="A20" s="20" t="s">
        <v>27</v>
      </c>
      <c r="B20" s="1" t="s">
        <v>9</v>
      </c>
      <c r="C20" s="1">
        <v>66</v>
      </c>
      <c r="D20" s="2">
        <v>3362453.64</v>
      </c>
      <c r="E20" s="3">
        <v>106506259.43000001</v>
      </c>
      <c r="F20" s="4">
        <f t="shared" si="0"/>
        <v>3.1570479124843676E-2</v>
      </c>
      <c r="G20" s="2">
        <f t="shared" si="1"/>
        <v>1065062.5943</v>
      </c>
      <c r="H20" s="5">
        <f t="shared" si="2"/>
        <v>2297391.0457000001</v>
      </c>
      <c r="I20" s="5" t="str">
        <f t="shared" si="3"/>
        <v>saldo devedor</v>
      </c>
      <c r="J20" s="6">
        <f t="shared" si="13"/>
        <v>1232328.4514000001</v>
      </c>
      <c r="K20" s="6" t="str">
        <f t="shared" si="14"/>
        <v>saldo devedor</v>
      </c>
      <c r="L20" s="7">
        <f t="shared" ref="L20:L25" si="15">J20-G20</f>
        <v>167265.85710000014</v>
      </c>
      <c r="M20" s="7" t="str">
        <f t="shared" ref="M20:M25" si="16">IF(L20&lt;0,"Pagamento 3 ano", "saldo devedor")</f>
        <v>saldo devedor</v>
      </c>
      <c r="N20" s="8">
        <f>L20-G20</f>
        <v>-897796.73719999986</v>
      </c>
      <c r="O20" s="8" t="str">
        <f>IF(N20&lt;0,"Pagamento 4 ano", "saldo devedor")</f>
        <v>Pagamento 4 ano</v>
      </c>
      <c r="P20" s="9"/>
      <c r="Q20" s="9"/>
    </row>
    <row r="21" spans="1:17" x14ac:dyDescent="0.2">
      <c r="A21" s="20" t="s">
        <v>28</v>
      </c>
      <c r="B21" s="1" t="s">
        <v>9</v>
      </c>
      <c r="C21" s="1">
        <v>20</v>
      </c>
      <c r="D21" s="2">
        <v>1539260.11</v>
      </c>
      <c r="E21" s="3">
        <v>60998302.649999999</v>
      </c>
      <c r="F21" s="4">
        <f t="shared" si="0"/>
        <v>2.5234474454675668E-2</v>
      </c>
      <c r="G21" s="2">
        <f t="shared" si="1"/>
        <v>609983.02650000004</v>
      </c>
      <c r="H21" s="5">
        <f t="shared" si="2"/>
        <v>929277.08350000007</v>
      </c>
      <c r="I21" s="5" t="str">
        <f t="shared" si="3"/>
        <v>saldo devedor</v>
      </c>
      <c r="J21" s="6">
        <f t="shared" si="13"/>
        <v>319294.05700000003</v>
      </c>
      <c r="K21" s="6" t="str">
        <f t="shared" si="14"/>
        <v>saldo devedor</v>
      </c>
      <c r="L21" s="7">
        <f t="shared" si="15"/>
        <v>-290688.96950000001</v>
      </c>
      <c r="M21" s="7" t="str">
        <f t="shared" si="16"/>
        <v>Pagamento 3 ano</v>
      </c>
      <c r="N21" s="11"/>
      <c r="O21" s="11"/>
      <c r="P21" s="9"/>
      <c r="Q21" s="9"/>
    </row>
    <row r="22" spans="1:17" x14ac:dyDescent="0.2">
      <c r="A22" s="20" t="s">
        <v>29</v>
      </c>
      <c r="B22" s="1" t="s">
        <v>9</v>
      </c>
      <c r="C22" s="1">
        <v>6</v>
      </c>
      <c r="D22" s="2">
        <v>323758.31</v>
      </c>
      <c r="E22" s="3">
        <v>16113328.109999999</v>
      </c>
      <c r="F22" s="4">
        <f t="shared" si="0"/>
        <v>2.0092578503324476E-2</v>
      </c>
      <c r="G22" s="2">
        <f t="shared" si="1"/>
        <v>161133.28109999999</v>
      </c>
      <c r="H22" s="5">
        <f t="shared" si="2"/>
        <v>162625.0289</v>
      </c>
      <c r="I22" s="5" t="str">
        <f t="shared" si="3"/>
        <v>saldo devedor</v>
      </c>
      <c r="J22" s="6">
        <f t="shared" si="13"/>
        <v>1491.7478000000119</v>
      </c>
      <c r="K22" s="6" t="str">
        <f t="shared" si="14"/>
        <v>saldo devedor</v>
      </c>
      <c r="L22" s="7">
        <f t="shared" si="15"/>
        <v>-159641.53329999998</v>
      </c>
      <c r="M22" s="7" t="str">
        <f t="shared" si="16"/>
        <v>Pagamento 3 ano</v>
      </c>
      <c r="N22" s="11"/>
      <c r="O22" s="11"/>
      <c r="P22" s="9"/>
      <c r="Q22" s="9"/>
    </row>
    <row r="23" spans="1:17" x14ac:dyDescent="0.2">
      <c r="A23" s="20" t="s">
        <v>30</v>
      </c>
      <c r="B23" s="1" t="s">
        <v>9</v>
      </c>
      <c r="C23" s="1">
        <v>64</v>
      </c>
      <c r="D23" s="2">
        <v>24825884.670000002</v>
      </c>
      <c r="E23" s="3">
        <v>481187097.52999997</v>
      </c>
      <c r="F23" s="4">
        <f t="shared" si="0"/>
        <v>5.1592997396303242E-2</v>
      </c>
      <c r="G23" s="2">
        <f t="shared" si="1"/>
        <v>4811870.9753</v>
      </c>
      <c r="H23" s="5">
        <f t="shared" si="2"/>
        <v>20014013.694700003</v>
      </c>
      <c r="I23" s="5" t="str">
        <f t="shared" si="3"/>
        <v>saldo devedor</v>
      </c>
      <c r="J23" s="6">
        <f t="shared" si="13"/>
        <v>15202142.719400004</v>
      </c>
      <c r="K23" s="6" t="str">
        <f t="shared" si="14"/>
        <v>saldo devedor</v>
      </c>
      <c r="L23" s="7">
        <f t="shared" si="15"/>
        <v>10390271.744100004</v>
      </c>
      <c r="M23" s="7" t="str">
        <f t="shared" si="16"/>
        <v>saldo devedor</v>
      </c>
      <c r="N23" s="8">
        <f t="shared" ref="N23:N25" si="17">L23-G23</f>
        <v>5578400.7688000044</v>
      </c>
      <c r="O23" s="8" t="str">
        <f t="shared" ref="O23:O25" si="18">IF(N23&lt;0,"Pagamento 4 ano", "saldo devedor")</f>
        <v>saldo devedor</v>
      </c>
      <c r="P23" s="6">
        <f>N23</f>
        <v>5578400.7688000044</v>
      </c>
      <c r="Q23" s="6" t="str">
        <f>IF(P23&lt;0,"Pagamento 5 ano", "saldo a ser Liquidado")</f>
        <v>saldo a ser Liquidado</v>
      </c>
    </row>
    <row r="24" spans="1:17" x14ac:dyDescent="0.2">
      <c r="A24" s="20" t="s">
        <v>31</v>
      </c>
      <c r="B24" s="1" t="s">
        <v>9</v>
      </c>
      <c r="C24" s="1">
        <v>11</v>
      </c>
      <c r="D24" s="2">
        <v>2627238.86</v>
      </c>
      <c r="E24" s="3">
        <v>38012803.890000001</v>
      </c>
      <c r="F24" s="4">
        <f t="shared" si="0"/>
        <v>6.9114576962083701E-2</v>
      </c>
      <c r="G24" s="2">
        <f t="shared" si="1"/>
        <v>380128.03889999999</v>
      </c>
      <c r="H24" s="5">
        <f t="shared" si="2"/>
        <v>2247110.8210999998</v>
      </c>
      <c r="I24" s="5" t="str">
        <f t="shared" si="3"/>
        <v>saldo devedor</v>
      </c>
      <c r="J24" s="6">
        <f t="shared" si="13"/>
        <v>1866982.7821999998</v>
      </c>
      <c r="K24" s="6" t="str">
        <f t="shared" si="14"/>
        <v>saldo devedor</v>
      </c>
      <c r="L24" s="7">
        <f t="shared" si="15"/>
        <v>1486854.7432999997</v>
      </c>
      <c r="M24" s="7" t="str">
        <f t="shared" si="16"/>
        <v>saldo devedor</v>
      </c>
      <c r="N24" s="8">
        <f t="shared" si="17"/>
        <v>1106726.7043999997</v>
      </c>
      <c r="O24" s="8" t="str">
        <f t="shared" si="18"/>
        <v>saldo devedor</v>
      </c>
      <c r="P24" s="6">
        <f>N24</f>
        <v>1106726.7043999997</v>
      </c>
      <c r="Q24" s="6" t="str">
        <f t="shared" ref="Q24:Q25" si="19">IF(P24&lt;0,"Pagamento 5 ano", "saldo a ser Liquidado")</f>
        <v>saldo a ser Liquidado</v>
      </c>
    </row>
    <row r="25" spans="1:17" x14ac:dyDescent="0.2">
      <c r="A25" s="20" t="s">
        <v>32</v>
      </c>
      <c r="B25" s="1" t="s">
        <v>9</v>
      </c>
      <c r="C25" s="1">
        <v>354</v>
      </c>
      <c r="D25" s="2">
        <v>78184448.379999995</v>
      </c>
      <c r="E25" s="3">
        <v>496781517.75999999</v>
      </c>
      <c r="F25" s="4">
        <f t="shared" si="0"/>
        <v>0.15738195883883843</v>
      </c>
      <c r="G25" s="2">
        <f t="shared" si="1"/>
        <v>4967815.1776000001</v>
      </c>
      <c r="H25" s="5">
        <f t="shared" si="2"/>
        <v>73216633.202399999</v>
      </c>
      <c r="I25" s="5" t="str">
        <f t="shared" si="3"/>
        <v>saldo devedor</v>
      </c>
      <c r="J25" s="6">
        <f t="shared" si="13"/>
        <v>68248818.024800003</v>
      </c>
      <c r="K25" s="6" t="str">
        <f t="shared" si="14"/>
        <v>saldo devedor</v>
      </c>
      <c r="L25" s="7">
        <f t="shared" si="15"/>
        <v>63281002.847200006</v>
      </c>
      <c r="M25" s="7" t="str">
        <f t="shared" si="16"/>
        <v>saldo devedor</v>
      </c>
      <c r="N25" s="8">
        <f t="shared" si="17"/>
        <v>58313187.66960001</v>
      </c>
      <c r="O25" s="8" t="str">
        <f t="shared" si="18"/>
        <v>saldo devedor</v>
      </c>
      <c r="P25" s="6">
        <f t="shared" ref="P25" si="20">N25</f>
        <v>58313187.66960001</v>
      </c>
      <c r="Q25" s="6" t="str">
        <f t="shared" si="19"/>
        <v>saldo a ser Liquidado</v>
      </c>
    </row>
    <row r="26" spans="1:17" x14ac:dyDescent="0.2">
      <c r="A26" s="20" t="s">
        <v>33</v>
      </c>
      <c r="B26" s="1" t="s">
        <v>9</v>
      </c>
      <c r="C26" s="1">
        <v>3</v>
      </c>
      <c r="D26" s="2">
        <v>195651.83</v>
      </c>
      <c r="E26" s="3">
        <v>24232536.77</v>
      </c>
      <c r="F26" s="4">
        <f t="shared" si="0"/>
        <v>8.0739310067701169E-3</v>
      </c>
      <c r="G26" s="2">
        <f t="shared" si="1"/>
        <v>242325.3677</v>
      </c>
      <c r="H26" s="5">
        <f t="shared" si="2"/>
        <v>-46673.537700000015</v>
      </c>
      <c r="I26" s="5" t="str">
        <f t="shared" si="3"/>
        <v>Pagamento 1 ano</v>
      </c>
      <c r="J26" s="9"/>
      <c r="K26" s="9"/>
      <c r="L26" s="10"/>
      <c r="M26" s="10"/>
      <c r="N26" s="11"/>
      <c r="O26" s="11"/>
      <c r="P26" s="9"/>
      <c r="Q26" s="9"/>
    </row>
    <row r="27" spans="1:17" x14ac:dyDescent="0.2">
      <c r="A27" s="20" t="s">
        <v>34</v>
      </c>
      <c r="B27" s="1" t="s">
        <v>9</v>
      </c>
      <c r="C27" s="1">
        <v>43</v>
      </c>
      <c r="D27" s="2">
        <v>1583107.57</v>
      </c>
      <c r="E27" s="3">
        <v>35704045.109999999</v>
      </c>
      <c r="F27" s="4">
        <f t="shared" si="0"/>
        <v>4.4339725796408512E-2</v>
      </c>
      <c r="G27" s="2">
        <f t="shared" si="1"/>
        <v>357040.45110000001</v>
      </c>
      <c r="H27" s="5">
        <f t="shared" si="2"/>
        <v>1226067.1189000001</v>
      </c>
      <c r="I27" s="5" t="str">
        <f t="shared" si="3"/>
        <v>saldo devedor</v>
      </c>
      <c r="J27" s="6">
        <f t="shared" ref="J27:J30" si="21">H27-G27</f>
        <v>869026.66780000017</v>
      </c>
      <c r="K27" s="6" t="str">
        <f t="shared" ref="K27:K30" si="22">IF(J27&lt;0,"Pagamento 2 ano", "saldo devedor")</f>
        <v>saldo devedor</v>
      </c>
      <c r="L27" s="7">
        <f t="shared" ref="L27:L29" si="23">J27-G27</f>
        <v>511986.21670000016</v>
      </c>
      <c r="M27" s="7" t="str">
        <f t="shared" ref="M27:M29" si="24">IF(L27&lt;0,"Pagamento 3 ano", "saldo devedor")</f>
        <v>saldo devedor</v>
      </c>
      <c r="N27" s="8">
        <f t="shared" ref="N27:N29" si="25">L27-G27</f>
        <v>154945.76560000016</v>
      </c>
      <c r="O27" s="8" t="str">
        <f t="shared" ref="O27:O29" si="26">IF(N27&lt;0,"Pagamento 4 ano", "saldo devedor")</f>
        <v>saldo devedor</v>
      </c>
      <c r="P27" s="6">
        <f t="shared" ref="P27:P29" si="27">N27</f>
        <v>154945.76560000016</v>
      </c>
      <c r="Q27" s="6" t="str">
        <f t="shared" ref="Q27:Q29" si="28">IF(P27&lt;0,"Pagamento 5 ano", "saldo a ser Liquidado")</f>
        <v>saldo a ser Liquidado</v>
      </c>
    </row>
    <row r="28" spans="1:17" x14ac:dyDescent="0.2">
      <c r="A28" s="20" t="s">
        <v>35</v>
      </c>
      <c r="B28" s="1" t="s">
        <v>9</v>
      </c>
      <c r="C28" s="1">
        <v>7</v>
      </c>
      <c r="D28" s="2">
        <v>857023.1</v>
      </c>
      <c r="E28" s="3">
        <v>13722480.52</v>
      </c>
      <c r="F28" s="4">
        <f t="shared" si="0"/>
        <v>6.2453949105697112E-2</v>
      </c>
      <c r="G28" s="2">
        <f t="shared" si="1"/>
        <v>137224.8052</v>
      </c>
      <c r="H28" s="5">
        <f t="shared" si="2"/>
        <v>719798.29480000003</v>
      </c>
      <c r="I28" s="5" t="str">
        <f t="shared" si="3"/>
        <v>saldo devedor</v>
      </c>
      <c r="J28" s="6">
        <f t="shared" si="21"/>
        <v>582573.48959999997</v>
      </c>
      <c r="K28" s="6" t="str">
        <f t="shared" si="22"/>
        <v>saldo devedor</v>
      </c>
      <c r="L28" s="7">
        <f t="shared" si="23"/>
        <v>445348.68439999997</v>
      </c>
      <c r="M28" s="7" t="str">
        <f t="shared" si="24"/>
        <v>saldo devedor</v>
      </c>
      <c r="N28" s="8">
        <f t="shared" si="25"/>
        <v>308123.87919999997</v>
      </c>
      <c r="O28" s="8" t="str">
        <f t="shared" si="26"/>
        <v>saldo devedor</v>
      </c>
      <c r="P28" s="6">
        <f t="shared" si="27"/>
        <v>308123.87919999997</v>
      </c>
      <c r="Q28" s="6" t="str">
        <f t="shared" si="28"/>
        <v>saldo a ser Liquidado</v>
      </c>
    </row>
    <row r="29" spans="1:17" x14ac:dyDescent="0.2">
      <c r="A29" s="20" t="s">
        <v>36</v>
      </c>
      <c r="B29" s="1" t="s">
        <v>9</v>
      </c>
      <c r="C29" s="1">
        <v>304</v>
      </c>
      <c r="D29" s="2">
        <v>66216481.710000001</v>
      </c>
      <c r="E29" s="3">
        <v>1185469025.05</v>
      </c>
      <c r="F29" s="4">
        <f t="shared" si="0"/>
        <v>5.585677930910693E-2</v>
      </c>
      <c r="G29" s="2">
        <f t="shared" si="1"/>
        <v>11854690.250499999</v>
      </c>
      <c r="H29" s="5">
        <f t="shared" si="2"/>
        <v>54361791.4595</v>
      </c>
      <c r="I29" s="5" t="str">
        <f t="shared" si="3"/>
        <v>saldo devedor</v>
      </c>
      <c r="J29" s="6">
        <f t="shared" si="21"/>
        <v>42507101.208999999</v>
      </c>
      <c r="K29" s="6" t="str">
        <f t="shared" si="22"/>
        <v>saldo devedor</v>
      </c>
      <c r="L29" s="7">
        <f t="shared" si="23"/>
        <v>30652410.958499998</v>
      </c>
      <c r="M29" s="7" t="str">
        <f t="shared" si="24"/>
        <v>saldo devedor</v>
      </c>
      <c r="N29" s="8">
        <f t="shared" si="25"/>
        <v>18797720.707999997</v>
      </c>
      <c r="O29" s="8" t="str">
        <f t="shared" si="26"/>
        <v>saldo devedor</v>
      </c>
      <c r="P29" s="6">
        <f t="shared" si="27"/>
        <v>18797720.707999997</v>
      </c>
      <c r="Q29" s="6" t="str">
        <f t="shared" si="28"/>
        <v>saldo a ser Liquidado</v>
      </c>
    </row>
    <row r="30" spans="1:17" x14ac:dyDescent="0.2">
      <c r="A30" s="20" t="s">
        <v>37</v>
      </c>
      <c r="B30" s="1" t="s">
        <v>9</v>
      </c>
      <c r="C30" s="1">
        <v>4</v>
      </c>
      <c r="D30" s="2">
        <v>200568.08</v>
      </c>
      <c r="E30" s="3">
        <v>11299113.210000001</v>
      </c>
      <c r="F30" s="4">
        <f t="shared" si="0"/>
        <v>1.7750780638474545E-2</v>
      </c>
      <c r="G30" s="2">
        <f t="shared" si="1"/>
        <v>112991.13210000002</v>
      </c>
      <c r="H30" s="5">
        <f t="shared" si="2"/>
        <v>87576.94789999997</v>
      </c>
      <c r="I30" s="5" t="str">
        <f t="shared" si="3"/>
        <v>saldo devedor</v>
      </c>
      <c r="J30" s="6">
        <f t="shared" si="21"/>
        <v>-25414.184200000047</v>
      </c>
      <c r="K30" s="6" t="str">
        <f t="shared" si="22"/>
        <v>Pagamento 2 ano</v>
      </c>
      <c r="L30" s="10"/>
      <c r="M30" s="10"/>
      <c r="N30" s="11"/>
      <c r="O30" s="11"/>
      <c r="P30" s="9"/>
      <c r="Q30" s="9"/>
    </row>
    <row r="31" spans="1:17" x14ac:dyDescent="0.2">
      <c r="A31" s="20" t="s">
        <v>38</v>
      </c>
      <c r="B31" s="1" t="s">
        <v>9</v>
      </c>
      <c r="C31" s="1">
        <v>1</v>
      </c>
      <c r="D31" s="2">
        <v>161744.54999999999</v>
      </c>
      <c r="E31" s="3">
        <v>44874803.5</v>
      </c>
      <c r="F31" s="4">
        <f t="shared" si="0"/>
        <v>3.6043511588858541E-3</v>
      </c>
      <c r="G31" s="2">
        <f t="shared" si="1"/>
        <v>448748.03500000003</v>
      </c>
      <c r="H31" s="5">
        <f t="shared" si="2"/>
        <v>-287003.48500000004</v>
      </c>
      <c r="I31" s="5" t="str">
        <f t="shared" si="3"/>
        <v>Pagamento 1 ano</v>
      </c>
      <c r="J31" s="9"/>
      <c r="K31" s="9"/>
      <c r="L31" s="10"/>
      <c r="M31" s="10"/>
      <c r="N31" s="11"/>
      <c r="O31" s="11"/>
      <c r="P31" s="9"/>
      <c r="Q31" s="9"/>
    </row>
    <row r="32" spans="1:17" x14ac:dyDescent="0.2">
      <c r="A32" s="20" t="s">
        <v>39</v>
      </c>
      <c r="B32" s="1" t="s">
        <v>9</v>
      </c>
      <c r="C32" s="1">
        <v>3</v>
      </c>
      <c r="D32" s="2">
        <v>413617.83</v>
      </c>
      <c r="E32" s="3">
        <v>38887479.119999997</v>
      </c>
      <c r="F32" s="4">
        <f t="shared" si="0"/>
        <v>1.0636272634789397E-2</v>
      </c>
      <c r="G32" s="2">
        <f t="shared" si="1"/>
        <v>388874.79119999998</v>
      </c>
      <c r="H32" s="5">
        <f t="shared" si="2"/>
        <v>24743.038800000038</v>
      </c>
      <c r="I32" s="5" t="str">
        <f t="shared" si="3"/>
        <v>saldo devedor</v>
      </c>
      <c r="J32" s="6">
        <f t="shared" ref="J32:J38" si="29">H32-G32</f>
        <v>-364131.75239999994</v>
      </c>
      <c r="K32" s="6" t="str">
        <f t="shared" ref="K32:K38" si="30">IF(J32&lt;0,"Pagamento 2 ano", "saldo devedor")</f>
        <v>Pagamento 2 ano</v>
      </c>
      <c r="L32" s="10"/>
      <c r="M32" s="10"/>
      <c r="N32" s="11"/>
      <c r="O32" s="11"/>
      <c r="P32" s="9"/>
      <c r="Q32" s="9"/>
    </row>
    <row r="33" spans="1:17" x14ac:dyDescent="0.2">
      <c r="A33" s="20" t="s">
        <v>40</v>
      </c>
      <c r="B33" s="1" t="s">
        <v>9</v>
      </c>
      <c r="C33" s="1">
        <v>8</v>
      </c>
      <c r="D33" s="2">
        <v>892443.92</v>
      </c>
      <c r="E33" s="3">
        <v>21161149.84</v>
      </c>
      <c r="F33" s="4">
        <f t="shared" si="0"/>
        <v>4.2173696927992645E-2</v>
      </c>
      <c r="G33" s="2">
        <f t="shared" si="1"/>
        <v>211611.49840000001</v>
      </c>
      <c r="H33" s="5">
        <f t="shared" si="2"/>
        <v>680832.4216</v>
      </c>
      <c r="I33" s="5" t="str">
        <f t="shared" si="3"/>
        <v>saldo devedor</v>
      </c>
      <c r="J33" s="6">
        <f t="shared" si="29"/>
        <v>469220.92319999996</v>
      </c>
      <c r="K33" s="6" t="str">
        <f t="shared" si="30"/>
        <v>saldo devedor</v>
      </c>
      <c r="L33" s="7">
        <f t="shared" ref="L33:L38" si="31">J33-G33</f>
        <v>257609.42479999995</v>
      </c>
      <c r="M33" s="7" t="str">
        <f t="shared" ref="M33:M38" si="32">IF(L33&lt;0,"Pagamento 3 ano", "saldo devedor")</f>
        <v>saldo devedor</v>
      </c>
      <c r="N33" s="8">
        <f>L33-G33</f>
        <v>45997.926399999938</v>
      </c>
      <c r="O33" s="8" t="str">
        <f>IF(N33&lt;0,"Pagamento 4 ano", "saldo devedor")</f>
        <v>saldo devedor</v>
      </c>
      <c r="P33" s="6">
        <f>N33</f>
        <v>45997.926399999938</v>
      </c>
      <c r="Q33" s="6" t="str">
        <f>IF(P33&lt;0,"Pagamento 5 ano", "saldo a ser Liquidado")</f>
        <v>saldo a ser Liquidado</v>
      </c>
    </row>
    <row r="34" spans="1:17" x14ac:dyDescent="0.2">
      <c r="A34" s="20" t="s">
        <v>41</v>
      </c>
      <c r="B34" s="1" t="s">
        <v>9</v>
      </c>
      <c r="C34" s="1">
        <v>5</v>
      </c>
      <c r="D34" s="2">
        <v>640257.69999999995</v>
      </c>
      <c r="E34" s="3">
        <v>22582094.140000001</v>
      </c>
      <c r="F34" s="4">
        <f t="shared" si="0"/>
        <v>2.8352450221430171E-2</v>
      </c>
      <c r="G34" s="2">
        <f t="shared" si="1"/>
        <v>225820.94140000001</v>
      </c>
      <c r="H34" s="5">
        <f t="shared" si="2"/>
        <v>414436.75859999994</v>
      </c>
      <c r="I34" s="5" t="str">
        <f t="shared" si="3"/>
        <v>saldo devedor</v>
      </c>
      <c r="J34" s="6">
        <f t="shared" si="29"/>
        <v>188615.81719999993</v>
      </c>
      <c r="K34" s="6" t="str">
        <f t="shared" si="30"/>
        <v>saldo devedor</v>
      </c>
      <c r="L34" s="7">
        <f t="shared" si="31"/>
        <v>-37205.124200000078</v>
      </c>
      <c r="M34" s="7" t="str">
        <f t="shared" si="32"/>
        <v>Pagamento 3 ano</v>
      </c>
      <c r="N34" s="11"/>
      <c r="O34" s="11"/>
      <c r="P34" s="9"/>
      <c r="Q34" s="9"/>
    </row>
    <row r="35" spans="1:17" x14ac:dyDescent="0.2">
      <c r="A35" s="20" t="s">
        <v>42</v>
      </c>
      <c r="B35" s="1" t="s">
        <v>9</v>
      </c>
      <c r="C35" s="1">
        <v>45</v>
      </c>
      <c r="D35" s="2">
        <v>5106392.07</v>
      </c>
      <c r="E35" s="3">
        <v>111191579.94</v>
      </c>
      <c r="F35" s="4">
        <f t="shared" si="0"/>
        <v>4.5924269380428415E-2</v>
      </c>
      <c r="G35" s="2">
        <f t="shared" si="1"/>
        <v>1111915.7993999999</v>
      </c>
      <c r="H35" s="5">
        <f t="shared" si="2"/>
        <v>3994476.2706000004</v>
      </c>
      <c r="I35" s="5" t="str">
        <f t="shared" si="3"/>
        <v>saldo devedor</v>
      </c>
      <c r="J35" s="6">
        <f t="shared" si="29"/>
        <v>2882560.4712000005</v>
      </c>
      <c r="K35" s="6" t="str">
        <f t="shared" si="30"/>
        <v>saldo devedor</v>
      </c>
      <c r="L35" s="7">
        <f t="shared" si="31"/>
        <v>1770644.6718000006</v>
      </c>
      <c r="M35" s="7" t="str">
        <f t="shared" si="32"/>
        <v>saldo devedor</v>
      </c>
      <c r="N35" s="8">
        <f t="shared" ref="N35:N36" si="33">L35-G35</f>
        <v>658728.87240000069</v>
      </c>
      <c r="O35" s="8" t="str">
        <f t="shared" ref="O35:O36" si="34">IF(N35&lt;0,"Pagamento 4 ano", "saldo devedor")</f>
        <v>saldo devedor</v>
      </c>
      <c r="P35" s="6">
        <f t="shared" ref="P35:P36" si="35">N35</f>
        <v>658728.87240000069</v>
      </c>
      <c r="Q35" s="6" t="str">
        <f t="shared" ref="Q35:Q36" si="36">IF(P35&lt;0,"Pagamento 5 ano", "saldo a ser Liquidado")</f>
        <v>saldo a ser Liquidado</v>
      </c>
    </row>
    <row r="36" spans="1:17" x14ac:dyDescent="0.2">
      <c r="A36" s="20" t="s">
        <v>43</v>
      </c>
      <c r="B36" s="1" t="s">
        <v>9</v>
      </c>
      <c r="C36" s="1">
        <v>11</v>
      </c>
      <c r="D36" s="2">
        <v>1286063.22</v>
      </c>
      <c r="E36" s="3">
        <v>23134755.41</v>
      </c>
      <c r="F36" s="4">
        <f t="shared" si="0"/>
        <v>5.5590093658137357E-2</v>
      </c>
      <c r="G36" s="2">
        <f t="shared" si="1"/>
        <v>231347.55410000001</v>
      </c>
      <c r="H36" s="5">
        <f t="shared" si="2"/>
        <v>1054715.6658999999</v>
      </c>
      <c r="I36" s="5" t="str">
        <f t="shared" si="3"/>
        <v>saldo devedor</v>
      </c>
      <c r="J36" s="6">
        <f t="shared" si="29"/>
        <v>823368.11179999984</v>
      </c>
      <c r="K36" s="6" t="str">
        <f t="shared" si="30"/>
        <v>saldo devedor</v>
      </c>
      <c r="L36" s="7">
        <f t="shared" si="31"/>
        <v>592020.55769999977</v>
      </c>
      <c r="M36" s="7" t="str">
        <f t="shared" si="32"/>
        <v>saldo devedor</v>
      </c>
      <c r="N36" s="8">
        <f t="shared" si="33"/>
        <v>360673.00359999976</v>
      </c>
      <c r="O36" s="8" t="str">
        <f t="shared" si="34"/>
        <v>saldo devedor</v>
      </c>
      <c r="P36" s="6">
        <f t="shared" si="35"/>
        <v>360673.00359999976</v>
      </c>
      <c r="Q36" s="6" t="str">
        <f t="shared" si="36"/>
        <v>saldo a ser Liquidado</v>
      </c>
    </row>
    <row r="37" spans="1:17" x14ac:dyDescent="0.2">
      <c r="A37" s="20" t="s">
        <v>44</v>
      </c>
      <c r="B37" s="1" t="s">
        <v>9</v>
      </c>
      <c r="C37" s="1">
        <v>8</v>
      </c>
      <c r="D37" s="2">
        <v>410098.32</v>
      </c>
      <c r="E37" s="3">
        <v>19199495.27</v>
      </c>
      <c r="F37" s="4">
        <f t="shared" si="0"/>
        <v>2.1359849008155723E-2</v>
      </c>
      <c r="G37" s="2">
        <f t="shared" si="1"/>
        <v>191994.95269999999</v>
      </c>
      <c r="H37" s="5">
        <f t="shared" si="2"/>
        <v>218103.36730000001</v>
      </c>
      <c r="I37" s="5" t="str">
        <f t="shared" si="3"/>
        <v>saldo devedor</v>
      </c>
      <c r="J37" s="6">
        <f t="shared" si="29"/>
        <v>26108.414600000018</v>
      </c>
      <c r="K37" s="6" t="str">
        <f t="shared" si="30"/>
        <v>saldo devedor</v>
      </c>
      <c r="L37" s="7">
        <f t="shared" si="31"/>
        <v>-165886.53809999998</v>
      </c>
      <c r="M37" s="7" t="str">
        <f t="shared" si="32"/>
        <v>Pagamento 3 ano</v>
      </c>
      <c r="N37" s="11"/>
      <c r="O37" s="11"/>
      <c r="P37" s="9"/>
      <c r="Q37" s="9"/>
    </row>
    <row r="38" spans="1:17" x14ac:dyDescent="0.2">
      <c r="A38" s="20" t="s">
        <v>45</v>
      </c>
      <c r="B38" s="1" t="s">
        <v>9</v>
      </c>
      <c r="C38" s="1">
        <v>173</v>
      </c>
      <c r="D38" s="2">
        <v>7892899.4699999997</v>
      </c>
      <c r="E38" s="3">
        <v>92423667.010000005</v>
      </c>
      <c r="F38" s="4">
        <f t="shared" si="0"/>
        <v>8.5399116106765247E-2</v>
      </c>
      <c r="G38" s="2">
        <f t="shared" si="1"/>
        <v>924236.6701000001</v>
      </c>
      <c r="H38" s="5">
        <f t="shared" si="2"/>
        <v>6968662.7999</v>
      </c>
      <c r="I38" s="5" t="str">
        <f t="shared" si="3"/>
        <v>saldo devedor</v>
      </c>
      <c r="J38" s="6">
        <f t="shared" si="29"/>
        <v>6044426.1298000002</v>
      </c>
      <c r="K38" s="6" t="str">
        <f t="shared" si="30"/>
        <v>saldo devedor</v>
      </c>
      <c r="L38" s="7">
        <f t="shared" si="31"/>
        <v>5120189.4597000005</v>
      </c>
      <c r="M38" s="7" t="str">
        <f t="shared" si="32"/>
        <v>saldo devedor</v>
      </c>
      <c r="N38" s="8">
        <f>L38-G38</f>
        <v>4195952.7896000007</v>
      </c>
      <c r="O38" s="8" t="str">
        <f>IF(N38&lt;0,"Pagamento 4 ano", "saldo devedor")</f>
        <v>saldo devedor</v>
      </c>
      <c r="P38" s="6">
        <f>N38</f>
        <v>4195952.7896000007</v>
      </c>
      <c r="Q38" s="6" t="str">
        <f>IF(P38&lt;0,"Pagamento 5 ano", "saldo a ser Liquidado")</f>
        <v>saldo a ser Liquidado</v>
      </c>
    </row>
    <row r="39" spans="1:17" x14ac:dyDescent="0.2">
      <c r="A39" s="20" t="s">
        <v>46</v>
      </c>
      <c r="B39" s="1" t="s">
        <v>9</v>
      </c>
      <c r="C39" s="1">
        <v>2</v>
      </c>
      <c r="D39" s="2">
        <v>85847.74</v>
      </c>
      <c r="E39" s="3">
        <v>21418857.760000002</v>
      </c>
      <c r="F39" s="4">
        <f t="shared" si="0"/>
        <v>4.0080447315132646E-3</v>
      </c>
      <c r="G39" s="2">
        <f t="shared" si="1"/>
        <v>214188.57760000002</v>
      </c>
      <c r="H39" s="5">
        <f t="shared" si="2"/>
        <v>-128340.83760000001</v>
      </c>
      <c r="I39" s="5" t="str">
        <f t="shared" si="3"/>
        <v>Pagamento 1 ano</v>
      </c>
      <c r="J39" s="9"/>
      <c r="K39" s="9"/>
      <c r="L39" s="10"/>
      <c r="M39" s="10"/>
      <c r="N39" s="11"/>
      <c r="O39" s="11"/>
      <c r="P39" s="9"/>
      <c r="Q39" s="9"/>
    </row>
    <row r="40" spans="1:17" x14ac:dyDescent="0.2">
      <c r="A40" s="20" t="s">
        <v>47</v>
      </c>
      <c r="B40" s="1" t="s">
        <v>9</v>
      </c>
      <c r="C40" s="1">
        <v>1</v>
      </c>
      <c r="D40" s="2">
        <v>722332.91</v>
      </c>
      <c r="E40" s="3">
        <v>9592608.2899999991</v>
      </c>
      <c r="F40" s="4">
        <f t="shared" si="0"/>
        <v>7.530099094664483E-2</v>
      </c>
      <c r="G40" s="2">
        <f t="shared" si="1"/>
        <v>95926.082899999994</v>
      </c>
      <c r="H40" s="5">
        <f t="shared" si="2"/>
        <v>626406.82709999999</v>
      </c>
      <c r="I40" s="5" t="str">
        <f t="shared" si="3"/>
        <v>saldo devedor</v>
      </c>
      <c r="J40" s="6">
        <f t="shared" ref="J40:J43" si="37">H40-G40</f>
        <v>530480.74419999996</v>
      </c>
      <c r="K40" s="6" t="str">
        <f t="shared" ref="K40:K43" si="38">IF(J40&lt;0,"Pagamento 2 ano", "saldo devedor")</f>
        <v>saldo devedor</v>
      </c>
      <c r="L40" s="7">
        <f t="shared" ref="L40:L43" si="39">J40-G40</f>
        <v>434554.66129999998</v>
      </c>
      <c r="M40" s="7" t="str">
        <f t="shared" ref="M40:M43" si="40">IF(L40&lt;0,"Pagamento 3 ano", "saldo devedor")</f>
        <v>saldo devedor</v>
      </c>
      <c r="N40" s="8">
        <f t="shared" ref="N40:N43" si="41">L40-G40</f>
        <v>338628.5784</v>
      </c>
      <c r="O40" s="8" t="str">
        <f t="shared" ref="O40:O43" si="42">IF(N40&lt;0,"Pagamento 4 ano", "saldo devedor")</f>
        <v>saldo devedor</v>
      </c>
      <c r="P40" s="6">
        <f t="shared" ref="P40:P43" si="43">N40</f>
        <v>338628.5784</v>
      </c>
      <c r="Q40" s="6" t="str">
        <f t="shared" ref="Q40:Q43" si="44">IF(P40&lt;0,"Pagamento 5 ano", "saldo a ser Liquidado")</f>
        <v>saldo a ser Liquidado</v>
      </c>
    </row>
    <row r="41" spans="1:17" x14ac:dyDescent="0.2">
      <c r="A41" s="20" t="s">
        <v>48</v>
      </c>
      <c r="B41" s="1" t="s">
        <v>9</v>
      </c>
      <c r="C41" s="1">
        <v>22</v>
      </c>
      <c r="D41" s="2">
        <v>2598648.2000000002</v>
      </c>
      <c r="E41" s="3">
        <v>38831277.68</v>
      </c>
      <c r="F41" s="4">
        <f t="shared" si="0"/>
        <v>6.6921521908572965E-2</v>
      </c>
      <c r="G41" s="2">
        <f t="shared" si="1"/>
        <v>388312.77679999999</v>
      </c>
      <c r="H41" s="5">
        <f t="shared" si="2"/>
        <v>2210335.4232000001</v>
      </c>
      <c r="I41" s="5" t="str">
        <f t="shared" si="3"/>
        <v>saldo devedor</v>
      </c>
      <c r="J41" s="6">
        <f t="shared" si="37"/>
        <v>1822022.6464</v>
      </c>
      <c r="K41" s="6" t="str">
        <f t="shared" si="38"/>
        <v>saldo devedor</v>
      </c>
      <c r="L41" s="7">
        <f t="shared" si="39"/>
        <v>1433709.8695999999</v>
      </c>
      <c r="M41" s="7" t="str">
        <f t="shared" si="40"/>
        <v>saldo devedor</v>
      </c>
      <c r="N41" s="8">
        <f t="shared" si="41"/>
        <v>1045397.0927999999</v>
      </c>
      <c r="O41" s="8" t="str">
        <f t="shared" si="42"/>
        <v>saldo devedor</v>
      </c>
      <c r="P41" s="6">
        <f t="shared" si="43"/>
        <v>1045397.0927999999</v>
      </c>
      <c r="Q41" s="6" t="str">
        <f t="shared" si="44"/>
        <v>saldo a ser Liquidado</v>
      </c>
    </row>
    <row r="42" spans="1:17" x14ac:dyDescent="0.2">
      <c r="A42" s="20" t="s">
        <v>49</v>
      </c>
      <c r="B42" s="1" t="s">
        <v>9</v>
      </c>
      <c r="C42" s="1">
        <v>11</v>
      </c>
      <c r="D42" s="2">
        <v>1479709.18</v>
      </c>
      <c r="E42" s="3">
        <v>21493374.32</v>
      </c>
      <c r="F42" s="4">
        <f t="shared" si="0"/>
        <v>6.8844898803214066E-2</v>
      </c>
      <c r="G42" s="2">
        <f t="shared" si="1"/>
        <v>214933.7432</v>
      </c>
      <c r="H42" s="5">
        <f t="shared" si="2"/>
        <v>1264775.4368</v>
      </c>
      <c r="I42" s="5" t="str">
        <f t="shared" si="3"/>
        <v>saldo devedor</v>
      </c>
      <c r="J42" s="6">
        <f t="shared" si="37"/>
        <v>1049841.6936000001</v>
      </c>
      <c r="K42" s="6" t="str">
        <f t="shared" si="38"/>
        <v>saldo devedor</v>
      </c>
      <c r="L42" s="7">
        <f t="shared" si="39"/>
        <v>834907.95040000009</v>
      </c>
      <c r="M42" s="7" t="str">
        <f t="shared" si="40"/>
        <v>saldo devedor</v>
      </c>
      <c r="N42" s="8">
        <f t="shared" si="41"/>
        <v>619974.20720000006</v>
      </c>
      <c r="O42" s="8" t="str">
        <f t="shared" si="42"/>
        <v>saldo devedor</v>
      </c>
      <c r="P42" s="6">
        <f t="shared" si="43"/>
        <v>619974.20720000006</v>
      </c>
      <c r="Q42" s="6" t="str">
        <f t="shared" si="44"/>
        <v>saldo a ser Liquidado</v>
      </c>
    </row>
    <row r="43" spans="1:17" x14ac:dyDescent="0.2">
      <c r="A43" s="20" t="s">
        <v>50</v>
      </c>
      <c r="B43" s="1" t="s">
        <v>9</v>
      </c>
      <c r="C43" s="1">
        <v>61</v>
      </c>
      <c r="D43" s="2">
        <v>3894980.8</v>
      </c>
      <c r="E43" s="3">
        <v>41008944.390000001</v>
      </c>
      <c r="F43" s="4">
        <f t="shared" si="0"/>
        <v>9.4978811523609666E-2</v>
      </c>
      <c r="G43" s="2">
        <f t="shared" si="1"/>
        <v>410089.44390000001</v>
      </c>
      <c r="H43" s="5">
        <f t="shared" si="2"/>
        <v>3484891.3561</v>
      </c>
      <c r="I43" s="5" t="str">
        <f t="shared" si="3"/>
        <v>saldo devedor</v>
      </c>
      <c r="J43" s="6">
        <f t="shared" si="37"/>
        <v>3074801.9122000001</v>
      </c>
      <c r="K43" s="6" t="str">
        <f t="shared" si="38"/>
        <v>saldo devedor</v>
      </c>
      <c r="L43" s="7">
        <f t="shared" si="39"/>
        <v>2664712.4683000003</v>
      </c>
      <c r="M43" s="7" t="str">
        <f t="shared" si="40"/>
        <v>saldo devedor</v>
      </c>
      <c r="N43" s="8">
        <f t="shared" si="41"/>
        <v>2254623.0244000005</v>
      </c>
      <c r="O43" s="8" t="str">
        <f t="shared" si="42"/>
        <v>saldo devedor</v>
      </c>
      <c r="P43" s="6">
        <f t="shared" si="43"/>
        <v>2254623.0244000005</v>
      </c>
      <c r="Q43" s="6" t="str">
        <f t="shared" si="44"/>
        <v>saldo a ser Liquidado</v>
      </c>
    </row>
    <row r="44" spans="1:17" x14ac:dyDescent="0.2">
      <c r="A44" s="20" t="s">
        <v>51</v>
      </c>
      <c r="B44" s="1" t="s">
        <v>9</v>
      </c>
      <c r="C44" s="1">
        <v>1</v>
      </c>
      <c r="D44" s="2">
        <v>15226.91</v>
      </c>
      <c r="E44" s="3">
        <v>9658597.2799999993</v>
      </c>
      <c r="F44" s="4">
        <f t="shared" si="0"/>
        <v>1.5765136032258301E-3</v>
      </c>
      <c r="G44" s="2">
        <f t="shared" si="1"/>
        <v>96585.972799999989</v>
      </c>
      <c r="H44" s="5">
        <f t="shared" si="2"/>
        <v>-81359.062799999985</v>
      </c>
      <c r="I44" s="5" t="str">
        <f t="shared" si="3"/>
        <v>Pagamento 1 ano</v>
      </c>
      <c r="J44" s="9"/>
      <c r="K44" s="9"/>
      <c r="L44" s="10"/>
      <c r="M44" s="10"/>
      <c r="N44" s="11"/>
      <c r="O44" s="11"/>
      <c r="P44" s="9"/>
      <c r="Q44" s="9"/>
    </row>
    <row r="45" spans="1:17" x14ac:dyDescent="0.2">
      <c r="A45" s="20" t="s">
        <v>52</v>
      </c>
      <c r="B45" s="1" t="s">
        <v>9</v>
      </c>
      <c r="C45" s="1">
        <v>22</v>
      </c>
      <c r="D45" s="2">
        <v>16198443.380000001</v>
      </c>
      <c r="E45" s="3">
        <v>383104374.5</v>
      </c>
      <c r="F45" s="4">
        <f t="shared" si="0"/>
        <v>4.2282063213559054E-2</v>
      </c>
      <c r="G45" s="2">
        <f t="shared" si="1"/>
        <v>3831043.7450000001</v>
      </c>
      <c r="H45" s="5">
        <f t="shared" si="2"/>
        <v>12367399.635000002</v>
      </c>
      <c r="I45" s="5" t="str">
        <f t="shared" si="3"/>
        <v>saldo devedor</v>
      </c>
      <c r="J45" s="6">
        <f t="shared" ref="J45:J50" si="45">H45-G45</f>
        <v>8536355.8900000006</v>
      </c>
      <c r="K45" s="6" t="str">
        <f t="shared" ref="K45:K50" si="46">IF(J45&lt;0,"Pagamento 2 ano", "saldo devedor")</f>
        <v>saldo devedor</v>
      </c>
      <c r="L45" s="7">
        <f t="shared" ref="L45:L50" si="47">J45-G45</f>
        <v>4705312.1450000005</v>
      </c>
      <c r="M45" s="7" t="str">
        <f t="shared" ref="M45:M50" si="48">IF(L45&lt;0,"Pagamento 3 ano", "saldo devedor")</f>
        <v>saldo devedor</v>
      </c>
      <c r="N45" s="8">
        <f t="shared" ref="N45:N47" si="49">L45-G45</f>
        <v>874268.40000000037</v>
      </c>
      <c r="O45" s="8" t="str">
        <f t="shared" ref="O45:O47" si="50">IF(N45&lt;0,"Pagamento 4 ano", "saldo devedor")</f>
        <v>saldo devedor</v>
      </c>
      <c r="P45" s="6">
        <f>N45</f>
        <v>874268.40000000037</v>
      </c>
      <c r="Q45" s="6" t="str">
        <f>IF(P45&lt;0,"Pagamento 5 ano", "saldo a ser Liquidado")</f>
        <v>saldo a ser Liquidado</v>
      </c>
    </row>
    <row r="46" spans="1:17" x14ac:dyDescent="0.2">
      <c r="A46" s="20" t="s">
        <v>53</v>
      </c>
      <c r="B46" s="1" t="s">
        <v>9</v>
      </c>
      <c r="C46" s="1">
        <v>29</v>
      </c>
      <c r="D46" s="2">
        <v>3348911.16</v>
      </c>
      <c r="E46" s="3">
        <v>89803829</v>
      </c>
      <c r="F46" s="4">
        <f t="shared" si="0"/>
        <v>3.7291407251688571E-2</v>
      </c>
      <c r="G46" s="2">
        <f t="shared" si="1"/>
        <v>898038.29</v>
      </c>
      <c r="H46" s="5">
        <f t="shared" si="2"/>
        <v>2450872.87</v>
      </c>
      <c r="I46" s="5" t="str">
        <f t="shared" si="3"/>
        <v>saldo devedor</v>
      </c>
      <c r="J46" s="6">
        <f t="shared" si="45"/>
        <v>1552834.58</v>
      </c>
      <c r="K46" s="6" t="str">
        <f t="shared" si="46"/>
        <v>saldo devedor</v>
      </c>
      <c r="L46" s="7">
        <f t="shared" si="47"/>
        <v>654796.29</v>
      </c>
      <c r="M46" s="7" t="str">
        <f t="shared" si="48"/>
        <v>saldo devedor</v>
      </c>
      <c r="N46" s="8">
        <f t="shared" si="49"/>
        <v>-243242</v>
      </c>
      <c r="O46" s="8" t="str">
        <f t="shared" si="50"/>
        <v>Pagamento 4 ano</v>
      </c>
      <c r="P46" s="9"/>
      <c r="Q46" s="9"/>
    </row>
    <row r="47" spans="1:17" x14ac:dyDescent="0.2">
      <c r="A47" s="20" t="s">
        <v>54</v>
      </c>
      <c r="B47" s="1" t="s">
        <v>9</v>
      </c>
      <c r="C47" s="1">
        <v>46</v>
      </c>
      <c r="D47" s="2">
        <v>2856435.2</v>
      </c>
      <c r="E47" s="3">
        <v>30052710.609999999</v>
      </c>
      <c r="F47" s="4">
        <f t="shared" si="0"/>
        <v>9.5047506265525522E-2</v>
      </c>
      <c r="G47" s="2">
        <f t="shared" si="1"/>
        <v>300527.10609999998</v>
      </c>
      <c r="H47" s="5">
        <f t="shared" si="2"/>
        <v>2555908.0939000002</v>
      </c>
      <c r="I47" s="5" t="str">
        <f t="shared" si="3"/>
        <v>saldo devedor</v>
      </c>
      <c r="J47" s="6">
        <f t="shared" si="45"/>
        <v>2255380.9878000002</v>
      </c>
      <c r="K47" s="6" t="str">
        <f t="shared" si="46"/>
        <v>saldo devedor</v>
      </c>
      <c r="L47" s="7">
        <f t="shared" si="47"/>
        <v>1954853.8817000003</v>
      </c>
      <c r="M47" s="7" t="str">
        <f t="shared" si="48"/>
        <v>saldo devedor</v>
      </c>
      <c r="N47" s="8">
        <f t="shared" si="49"/>
        <v>1654326.7756000003</v>
      </c>
      <c r="O47" s="8" t="str">
        <f t="shared" si="50"/>
        <v>saldo devedor</v>
      </c>
      <c r="P47" s="6">
        <f>N47</f>
        <v>1654326.7756000003</v>
      </c>
      <c r="Q47" s="6" t="str">
        <f>IF(P47&lt;0,"Pagamento 5 ano", "saldo a ser Liquidado")</f>
        <v>saldo a ser Liquidado</v>
      </c>
    </row>
    <row r="48" spans="1:17" x14ac:dyDescent="0.2">
      <c r="A48" s="20" t="s">
        <v>55</v>
      </c>
      <c r="B48" s="1" t="s">
        <v>9</v>
      </c>
      <c r="C48" s="1">
        <v>12</v>
      </c>
      <c r="D48" s="2">
        <v>538757.73</v>
      </c>
      <c r="E48" s="3">
        <v>22465381.739999998</v>
      </c>
      <c r="F48" s="4">
        <f t="shared" si="0"/>
        <v>2.3981685966222983E-2</v>
      </c>
      <c r="G48" s="2">
        <f t="shared" si="1"/>
        <v>224653.8174</v>
      </c>
      <c r="H48" s="5">
        <f t="shared" si="2"/>
        <v>314103.91259999998</v>
      </c>
      <c r="I48" s="5" t="str">
        <f t="shared" si="3"/>
        <v>saldo devedor</v>
      </c>
      <c r="J48" s="6">
        <f t="shared" si="45"/>
        <v>89450.095199999982</v>
      </c>
      <c r="K48" s="6" t="str">
        <f t="shared" si="46"/>
        <v>saldo devedor</v>
      </c>
      <c r="L48" s="7">
        <f t="shared" si="47"/>
        <v>-135203.72220000002</v>
      </c>
      <c r="M48" s="7" t="str">
        <f t="shared" si="48"/>
        <v>Pagamento 3 ano</v>
      </c>
      <c r="N48" s="11"/>
      <c r="O48" s="11"/>
      <c r="P48" s="9"/>
      <c r="Q48" s="9"/>
    </row>
    <row r="49" spans="1:17" x14ac:dyDescent="0.2">
      <c r="A49" s="20" t="s">
        <v>56</v>
      </c>
      <c r="B49" s="1" t="s">
        <v>9</v>
      </c>
      <c r="C49" s="1">
        <v>15</v>
      </c>
      <c r="D49" s="2">
        <v>2976559.22</v>
      </c>
      <c r="E49" s="3">
        <v>96851746.489999995</v>
      </c>
      <c r="F49" s="4">
        <f t="shared" si="0"/>
        <v>3.0733149662998921E-2</v>
      </c>
      <c r="G49" s="2">
        <f t="shared" si="1"/>
        <v>968517.46490000002</v>
      </c>
      <c r="H49" s="5">
        <f t="shared" si="2"/>
        <v>2008041.7551000002</v>
      </c>
      <c r="I49" s="5" t="str">
        <f t="shared" si="3"/>
        <v>saldo devedor</v>
      </c>
      <c r="J49" s="6">
        <f t="shared" si="45"/>
        <v>1039524.2902000002</v>
      </c>
      <c r="K49" s="6" t="str">
        <f t="shared" si="46"/>
        <v>saldo devedor</v>
      </c>
      <c r="L49" s="7">
        <f t="shared" si="47"/>
        <v>71006.825300000142</v>
      </c>
      <c r="M49" s="7" t="str">
        <f t="shared" si="48"/>
        <v>saldo devedor</v>
      </c>
      <c r="N49" s="8">
        <f t="shared" ref="N49:N50" si="51">L49-G49</f>
        <v>-897510.63959999988</v>
      </c>
      <c r="O49" s="8" t="str">
        <f t="shared" ref="O49:O50" si="52">IF(N49&lt;0,"Pagamento 4 ano", "saldo devedor")</f>
        <v>Pagamento 4 ano</v>
      </c>
      <c r="P49" s="9"/>
      <c r="Q49" s="9"/>
    </row>
    <row r="50" spans="1:17" x14ac:dyDescent="0.2">
      <c r="A50" s="20" t="s">
        <v>57</v>
      </c>
      <c r="B50" s="1" t="s">
        <v>9</v>
      </c>
      <c r="C50" s="1">
        <v>17</v>
      </c>
      <c r="D50" s="2">
        <v>883406.47</v>
      </c>
      <c r="E50" s="3">
        <v>17634491.210000001</v>
      </c>
      <c r="F50" s="4">
        <f t="shared" si="0"/>
        <v>5.0095376128518311E-2</v>
      </c>
      <c r="G50" s="2">
        <f t="shared" si="1"/>
        <v>176344.91210000002</v>
      </c>
      <c r="H50" s="5">
        <f t="shared" si="2"/>
        <v>707061.5578999999</v>
      </c>
      <c r="I50" s="5" t="str">
        <f t="shared" si="3"/>
        <v>saldo devedor</v>
      </c>
      <c r="J50" s="6">
        <f t="shared" si="45"/>
        <v>530716.64579999982</v>
      </c>
      <c r="K50" s="6" t="str">
        <f t="shared" si="46"/>
        <v>saldo devedor</v>
      </c>
      <c r="L50" s="7">
        <f t="shared" si="47"/>
        <v>354371.73369999981</v>
      </c>
      <c r="M50" s="7" t="str">
        <f t="shared" si="48"/>
        <v>saldo devedor</v>
      </c>
      <c r="N50" s="8">
        <f t="shared" si="51"/>
        <v>178026.82159999979</v>
      </c>
      <c r="O50" s="8" t="str">
        <f t="shared" si="52"/>
        <v>saldo devedor</v>
      </c>
      <c r="P50" s="6">
        <f>N50</f>
        <v>178026.82159999979</v>
      </c>
      <c r="Q50" s="6" t="str">
        <f>IF(P50&lt;0,"Pagamento 5 ano", "saldo a ser Liquidado")</f>
        <v>saldo a ser Liquidado</v>
      </c>
    </row>
    <row r="51" spans="1:17" x14ac:dyDescent="0.2">
      <c r="A51" s="20" t="s">
        <v>58</v>
      </c>
      <c r="B51" s="1" t="s">
        <v>9</v>
      </c>
      <c r="C51" s="1">
        <v>4</v>
      </c>
      <c r="D51" s="2">
        <v>45324.06</v>
      </c>
      <c r="E51" s="3">
        <v>16177398.439999999</v>
      </c>
      <c r="F51" s="4">
        <f t="shared" si="0"/>
        <v>2.8016902821613385E-3</v>
      </c>
      <c r="G51" s="2">
        <f t="shared" si="1"/>
        <v>161773.98439999999</v>
      </c>
      <c r="H51" s="5">
        <f t="shared" si="2"/>
        <v>-116449.92439999999</v>
      </c>
      <c r="I51" s="5" t="str">
        <f t="shared" si="3"/>
        <v>Pagamento 1 ano</v>
      </c>
      <c r="J51" s="9"/>
      <c r="K51" s="9"/>
      <c r="L51" s="10"/>
      <c r="M51" s="10"/>
      <c r="N51" s="11"/>
      <c r="O51" s="11"/>
      <c r="P51" s="9"/>
      <c r="Q51" s="9"/>
    </row>
    <row r="52" spans="1:17" x14ac:dyDescent="0.2">
      <c r="A52" s="20" t="s">
        <v>59</v>
      </c>
      <c r="B52" s="1" t="s">
        <v>9</v>
      </c>
      <c r="C52" s="1">
        <v>15</v>
      </c>
      <c r="D52" s="2">
        <v>916343.05</v>
      </c>
      <c r="E52" s="3">
        <v>52201986.869999997</v>
      </c>
      <c r="F52" s="4">
        <f t="shared" si="0"/>
        <v>1.7553796415488813E-2</v>
      </c>
      <c r="G52" s="2">
        <f t="shared" si="1"/>
        <v>522019.86869999999</v>
      </c>
      <c r="H52" s="5">
        <f t="shared" si="2"/>
        <v>394323.18130000005</v>
      </c>
      <c r="I52" s="5" t="str">
        <f t="shared" si="3"/>
        <v>saldo devedor</v>
      </c>
      <c r="J52" s="6">
        <f t="shared" ref="J52:J62" si="53">H52-G52</f>
        <v>-127696.68739999994</v>
      </c>
      <c r="K52" s="6" t="str">
        <f t="shared" ref="K52:K62" si="54">IF(J52&lt;0,"Pagamento 2 ano", "saldo devedor")</f>
        <v>Pagamento 2 ano</v>
      </c>
      <c r="L52" s="10"/>
      <c r="M52" s="10"/>
      <c r="N52" s="11"/>
      <c r="O52" s="11"/>
      <c r="P52" s="9"/>
      <c r="Q52" s="9"/>
    </row>
    <row r="53" spans="1:17" x14ac:dyDescent="0.2">
      <c r="A53" s="20" t="s">
        <v>60</v>
      </c>
      <c r="B53" s="1" t="s">
        <v>9</v>
      </c>
      <c r="C53" s="1">
        <v>6</v>
      </c>
      <c r="D53" s="2">
        <v>154654.67000000001</v>
      </c>
      <c r="E53" s="3">
        <v>10155356.76</v>
      </c>
      <c r="F53" s="4">
        <f t="shared" si="0"/>
        <v>1.5228876114835773E-2</v>
      </c>
      <c r="G53" s="2">
        <f t="shared" si="1"/>
        <v>101553.56759999999</v>
      </c>
      <c r="H53" s="5">
        <f t="shared" si="2"/>
        <v>53101.102400000018</v>
      </c>
      <c r="I53" s="5" t="str">
        <f t="shared" si="3"/>
        <v>saldo devedor</v>
      </c>
      <c r="J53" s="6">
        <f t="shared" si="53"/>
        <v>-48452.465199999977</v>
      </c>
      <c r="K53" s="6" t="str">
        <f t="shared" si="54"/>
        <v>Pagamento 2 ano</v>
      </c>
      <c r="L53" s="10"/>
      <c r="M53" s="10"/>
      <c r="N53" s="11"/>
      <c r="O53" s="11"/>
      <c r="P53" s="9"/>
      <c r="Q53" s="9"/>
    </row>
    <row r="54" spans="1:17" x14ac:dyDescent="0.2">
      <c r="A54" s="20" t="s">
        <v>61</v>
      </c>
      <c r="B54" s="1" t="s">
        <v>9</v>
      </c>
      <c r="C54" s="1">
        <v>13</v>
      </c>
      <c r="D54" s="2">
        <v>577522.22</v>
      </c>
      <c r="E54" s="3">
        <v>18656017.710000001</v>
      </c>
      <c r="F54" s="4">
        <f t="shared" si="0"/>
        <v>3.0956350330351393E-2</v>
      </c>
      <c r="G54" s="2">
        <f t="shared" si="1"/>
        <v>186560.1771</v>
      </c>
      <c r="H54" s="5">
        <f t="shared" si="2"/>
        <v>390962.0429</v>
      </c>
      <c r="I54" s="5" t="str">
        <f t="shared" si="3"/>
        <v>saldo devedor</v>
      </c>
      <c r="J54" s="6">
        <f t="shared" si="53"/>
        <v>204401.8658</v>
      </c>
      <c r="K54" s="6" t="str">
        <f t="shared" si="54"/>
        <v>saldo devedor</v>
      </c>
      <c r="L54" s="7">
        <f t="shared" ref="L54:L57" si="55">J54-G54</f>
        <v>17841.688699999999</v>
      </c>
      <c r="M54" s="7" t="str">
        <f t="shared" ref="M54:M57" si="56">IF(L54&lt;0,"Pagamento 3 ano", "saldo devedor")</f>
        <v>saldo devedor</v>
      </c>
      <c r="N54" s="8">
        <f>L54-G54</f>
        <v>-168718.4884</v>
      </c>
      <c r="O54" s="8" t="str">
        <f>IF(N54&lt;0,"Pagamento 4 ano", "saldo devedor")</f>
        <v>Pagamento 4 ano</v>
      </c>
      <c r="P54" s="9"/>
      <c r="Q54" s="9"/>
    </row>
    <row r="55" spans="1:17" x14ac:dyDescent="0.2">
      <c r="A55" s="20" t="s">
        <v>62</v>
      </c>
      <c r="B55" s="1" t="s">
        <v>9</v>
      </c>
      <c r="C55" s="1">
        <v>7</v>
      </c>
      <c r="D55" s="2">
        <v>376509.44</v>
      </c>
      <c r="E55" s="3">
        <v>14245128.710000001</v>
      </c>
      <c r="F55" s="4">
        <f t="shared" si="0"/>
        <v>2.6430750305238903E-2</v>
      </c>
      <c r="G55" s="2">
        <f t="shared" si="1"/>
        <v>142451.28710000002</v>
      </c>
      <c r="H55" s="5">
        <f t="shared" si="2"/>
        <v>234058.15289999999</v>
      </c>
      <c r="I55" s="5" t="str">
        <f t="shared" si="3"/>
        <v>saldo devedor</v>
      </c>
      <c r="J55" s="6">
        <f t="shared" si="53"/>
        <v>91606.86579999997</v>
      </c>
      <c r="K55" s="6" t="str">
        <f t="shared" si="54"/>
        <v>saldo devedor</v>
      </c>
      <c r="L55" s="7">
        <f t="shared" si="55"/>
        <v>-50844.421300000045</v>
      </c>
      <c r="M55" s="7" t="str">
        <f t="shared" si="56"/>
        <v>Pagamento 3 ano</v>
      </c>
      <c r="N55" s="11"/>
      <c r="O55" s="11"/>
      <c r="P55" s="9"/>
      <c r="Q55" s="9"/>
    </row>
    <row r="56" spans="1:17" x14ac:dyDescent="0.2">
      <c r="A56" s="20" t="s">
        <v>63</v>
      </c>
      <c r="B56" s="1" t="s">
        <v>9</v>
      </c>
      <c r="C56" s="1">
        <v>24</v>
      </c>
      <c r="D56" s="2">
        <v>785161.01</v>
      </c>
      <c r="E56" s="3">
        <v>21489984.84</v>
      </c>
      <c r="F56" s="4">
        <f t="shared" si="0"/>
        <v>3.6536136058065272E-2</v>
      </c>
      <c r="G56" s="2">
        <f t="shared" si="1"/>
        <v>214899.84840000002</v>
      </c>
      <c r="H56" s="5">
        <f t="shared" si="2"/>
        <v>570261.16159999999</v>
      </c>
      <c r="I56" s="5" t="str">
        <f t="shared" si="3"/>
        <v>saldo devedor</v>
      </c>
      <c r="J56" s="6">
        <f t="shared" si="53"/>
        <v>355361.31319999998</v>
      </c>
      <c r="K56" s="6" t="str">
        <f t="shared" si="54"/>
        <v>saldo devedor</v>
      </c>
      <c r="L56" s="7">
        <f t="shared" si="55"/>
        <v>140461.46479999996</v>
      </c>
      <c r="M56" s="7" t="str">
        <f t="shared" si="56"/>
        <v>saldo devedor</v>
      </c>
      <c r="N56" s="8">
        <f t="shared" ref="N56:N57" si="57">L56-G56</f>
        <v>-74438.383600000059</v>
      </c>
      <c r="O56" s="8" t="str">
        <f t="shared" ref="O56:O57" si="58">IF(N56&lt;0,"Pagamento 4 ano", "saldo devedor")</f>
        <v>Pagamento 4 ano</v>
      </c>
      <c r="P56" s="9"/>
      <c r="Q56" s="9"/>
    </row>
    <row r="57" spans="1:17" x14ac:dyDescent="0.2">
      <c r="A57" s="20" t="s">
        <v>64</v>
      </c>
      <c r="B57" s="1" t="s">
        <v>9</v>
      </c>
      <c r="C57" s="1">
        <v>11</v>
      </c>
      <c r="D57" s="2">
        <v>2895443.09</v>
      </c>
      <c r="E57" s="3">
        <v>38235624.359999999</v>
      </c>
      <c r="F57" s="4">
        <f t="shared" si="0"/>
        <v>7.5726319066704004E-2</v>
      </c>
      <c r="G57" s="2">
        <f t="shared" si="1"/>
        <v>382356.24359999999</v>
      </c>
      <c r="H57" s="5">
        <f t="shared" si="2"/>
        <v>2513086.8463999997</v>
      </c>
      <c r="I57" s="5" t="str">
        <f t="shared" si="3"/>
        <v>saldo devedor</v>
      </c>
      <c r="J57" s="6">
        <f t="shared" si="53"/>
        <v>2130730.6027999995</v>
      </c>
      <c r="K57" s="6" t="str">
        <f t="shared" si="54"/>
        <v>saldo devedor</v>
      </c>
      <c r="L57" s="7">
        <f t="shared" si="55"/>
        <v>1748374.3591999996</v>
      </c>
      <c r="M57" s="7" t="str">
        <f t="shared" si="56"/>
        <v>saldo devedor</v>
      </c>
      <c r="N57" s="8">
        <f t="shared" si="57"/>
        <v>1366018.1155999997</v>
      </c>
      <c r="O57" s="8" t="str">
        <f t="shared" si="58"/>
        <v>saldo devedor</v>
      </c>
      <c r="P57" s="6">
        <f>N57</f>
        <v>1366018.1155999997</v>
      </c>
      <c r="Q57" s="6" t="str">
        <f>IF(P57&lt;0,"Pagamento 5 ano", "saldo a ser Liquidado")</f>
        <v>saldo a ser Liquidado</v>
      </c>
    </row>
    <row r="58" spans="1:17" x14ac:dyDescent="0.2">
      <c r="A58" s="20" t="s">
        <v>65</v>
      </c>
      <c r="B58" s="1" t="s">
        <v>9</v>
      </c>
      <c r="C58" s="1">
        <v>6</v>
      </c>
      <c r="D58" s="2">
        <v>514320.67</v>
      </c>
      <c r="E58" s="3">
        <v>31777810.32</v>
      </c>
      <c r="F58" s="4">
        <f t="shared" si="0"/>
        <v>1.6184899614568534E-2</v>
      </c>
      <c r="G58" s="2">
        <f t="shared" si="1"/>
        <v>317778.10320000001</v>
      </c>
      <c r="H58" s="5">
        <f t="shared" si="2"/>
        <v>196542.56679999997</v>
      </c>
      <c r="I58" s="5" t="str">
        <f t="shared" si="3"/>
        <v>saldo devedor</v>
      </c>
      <c r="J58" s="6">
        <f t="shared" si="53"/>
        <v>-121235.53640000004</v>
      </c>
      <c r="K58" s="6" t="str">
        <f t="shared" si="54"/>
        <v>Pagamento 2 ano</v>
      </c>
      <c r="L58" s="10"/>
      <c r="M58" s="10"/>
      <c r="N58" s="11"/>
      <c r="O58" s="11"/>
      <c r="P58" s="9"/>
      <c r="Q58" s="9"/>
    </row>
    <row r="59" spans="1:17" x14ac:dyDescent="0.2">
      <c r="A59" s="20" t="s">
        <v>66</v>
      </c>
      <c r="B59" s="1" t="s">
        <v>9</v>
      </c>
      <c r="C59" s="1">
        <v>15</v>
      </c>
      <c r="D59" s="2">
        <v>945829.58</v>
      </c>
      <c r="E59" s="3">
        <v>36298779.68</v>
      </c>
      <c r="F59" s="4">
        <f t="shared" si="0"/>
        <v>2.605678726222126E-2</v>
      </c>
      <c r="G59" s="2">
        <f t="shared" si="1"/>
        <v>362987.79680000001</v>
      </c>
      <c r="H59" s="5">
        <f t="shared" si="2"/>
        <v>582841.78319999995</v>
      </c>
      <c r="I59" s="5" t="str">
        <f t="shared" si="3"/>
        <v>saldo devedor</v>
      </c>
      <c r="J59" s="6">
        <f t="shared" si="53"/>
        <v>219853.98639999994</v>
      </c>
      <c r="K59" s="6" t="str">
        <f t="shared" si="54"/>
        <v>saldo devedor</v>
      </c>
      <c r="L59" s="7">
        <f t="shared" ref="L59:L62" si="59">J59-G59</f>
        <v>-143133.81040000007</v>
      </c>
      <c r="M59" s="7" t="str">
        <f t="shared" ref="M59:M62" si="60">IF(L59&lt;0,"Pagamento 3 ano", "saldo devedor")</f>
        <v>Pagamento 3 ano</v>
      </c>
      <c r="N59" s="11"/>
      <c r="O59" s="11"/>
      <c r="P59" s="9"/>
      <c r="Q59" s="9"/>
    </row>
    <row r="60" spans="1:17" x14ac:dyDescent="0.2">
      <c r="A60" s="20" t="s">
        <v>67</v>
      </c>
      <c r="B60" s="1" t="s">
        <v>9</v>
      </c>
      <c r="C60" s="1">
        <v>5</v>
      </c>
      <c r="D60" s="2">
        <v>1652863.48</v>
      </c>
      <c r="E60" s="3">
        <v>52253103.469999999</v>
      </c>
      <c r="F60" s="4">
        <f t="shared" si="0"/>
        <v>3.1631871989172014E-2</v>
      </c>
      <c r="G60" s="2">
        <f t="shared" si="1"/>
        <v>522531.03470000002</v>
      </c>
      <c r="H60" s="5">
        <f t="shared" si="2"/>
        <v>1130332.4453</v>
      </c>
      <c r="I60" s="5" t="str">
        <f t="shared" si="3"/>
        <v>saldo devedor</v>
      </c>
      <c r="J60" s="6">
        <f t="shared" si="53"/>
        <v>607801.41060000006</v>
      </c>
      <c r="K60" s="6" t="str">
        <f t="shared" si="54"/>
        <v>saldo devedor</v>
      </c>
      <c r="L60" s="7">
        <f t="shared" si="59"/>
        <v>85270.375900000043</v>
      </c>
      <c r="M60" s="7" t="str">
        <f t="shared" si="60"/>
        <v>saldo devedor</v>
      </c>
      <c r="N60" s="8">
        <f t="shared" ref="N60:N62" si="61">L60-G60</f>
        <v>-437260.65879999998</v>
      </c>
      <c r="O60" s="8" t="str">
        <f t="shared" ref="O60:O62" si="62">IF(N60&lt;0,"Pagamento 4 ano", "saldo devedor")</f>
        <v>Pagamento 4 ano</v>
      </c>
      <c r="P60" s="9"/>
      <c r="Q60" s="9"/>
    </row>
    <row r="61" spans="1:17" x14ac:dyDescent="0.2">
      <c r="A61" s="20" t="s">
        <v>68</v>
      </c>
      <c r="B61" s="1" t="s">
        <v>9</v>
      </c>
      <c r="C61" s="1">
        <v>9</v>
      </c>
      <c r="D61" s="2">
        <v>2900087.36</v>
      </c>
      <c r="E61" s="3">
        <v>44634925</v>
      </c>
      <c r="F61" s="4">
        <f t="shared" si="0"/>
        <v>6.4973501355720886E-2</v>
      </c>
      <c r="G61" s="2">
        <f t="shared" si="1"/>
        <v>446349.25</v>
      </c>
      <c r="H61" s="5">
        <f t="shared" si="2"/>
        <v>2453738.11</v>
      </c>
      <c r="I61" s="5" t="str">
        <f t="shared" si="3"/>
        <v>saldo devedor</v>
      </c>
      <c r="J61" s="6">
        <f t="shared" si="53"/>
        <v>2007388.8599999999</v>
      </c>
      <c r="K61" s="6" t="str">
        <f t="shared" si="54"/>
        <v>saldo devedor</v>
      </c>
      <c r="L61" s="7">
        <f t="shared" si="59"/>
        <v>1561039.6099999999</v>
      </c>
      <c r="M61" s="7" t="str">
        <f t="shared" si="60"/>
        <v>saldo devedor</v>
      </c>
      <c r="N61" s="8">
        <f t="shared" si="61"/>
        <v>1114690.3599999999</v>
      </c>
      <c r="O61" s="8" t="str">
        <f t="shared" si="62"/>
        <v>saldo devedor</v>
      </c>
      <c r="P61" s="6">
        <f>N61</f>
        <v>1114690.3599999999</v>
      </c>
      <c r="Q61" s="6" t="str">
        <f>IF(P61&lt;0,"Pagamento 5 ano", "saldo a ser Liquidado")</f>
        <v>saldo a ser Liquidado</v>
      </c>
    </row>
    <row r="62" spans="1:17" x14ac:dyDescent="0.2">
      <c r="A62" s="20" t="s">
        <v>69</v>
      </c>
      <c r="B62" s="1" t="s">
        <v>9</v>
      </c>
      <c r="C62" s="1">
        <v>4</v>
      </c>
      <c r="D62" s="2">
        <v>475578.7</v>
      </c>
      <c r="E62" s="3">
        <v>12511866.130000001</v>
      </c>
      <c r="F62" s="4">
        <f t="shared" si="0"/>
        <v>3.8010213269441366E-2</v>
      </c>
      <c r="G62" s="2">
        <f t="shared" si="1"/>
        <v>125118.66130000001</v>
      </c>
      <c r="H62" s="5">
        <f t="shared" si="2"/>
        <v>350460.03870000003</v>
      </c>
      <c r="I62" s="5" t="str">
        <f t="shared" si="3"/>
        <v>saldo devedor</v>
      </c>
      <c r="J62" s="6">
        <f t="shared" si="53"/>
        <v>225341.37740000003</v>
      </c>
      <c r="K62" s="6" t="str">
        <f t="shared" si="54"/>
        <v>saldo devedor</v>
      </c>
      <c r="L62" s="7">
        <f t="shared" si="59"/>
        <v>100222.71610000002</v>
      </c>
      <c r="M62" s="7" t="str">
        <f t="shared" si="60"/>
        <v>saldo devedor</v>
      </c>
      <c r="N62" s="8">
        <f t="shared" si="61"/>
        <v>-24895.945199999987</v>
      </c>
      <c r="O62" s="8" t="str">
        <f t="shared" si="62"/>
        <v>Pagamento 4 ano</v>
      </c>
      <c r="P62" s="9"/>
      <c r="Q62" s="9"/>
    </row>
    <row r="63" spans="1:17" x14ac:dyDescent="0.2">
      <c r="A63" s="20" t="s">
        <v>70</v>
      </c>
      <c r="B63" s="1" t="s">
        <v>9</v>
      </c>
      <c r="C63" s="1">
        <v>9</v>
      </c>
      <c r="D63" s="2">
        <v>2714022.24</v>
      </c>
      <c r="E63" s="3">
        <v>314925819.16000003</v>
      </c>
      <c r="F63" s="4">
        <f t="shared" si="0"/>
        <v>8.6179731062988024E-3</v>
      </c>
      <c r="G63" s="2">
        <f t="shared" si="1"/>
        <v>3149258.1916000005</v>
      </c>
      <c r="H63" s="5">
        <f t="shared" si="2"/>
        <v>-435235.95160000026</v>
      </c>
      <c r="I63" s="5" t="str">
        <f t="shared" si="3"/>
        <v>Pagamento 1 ano</v>
      </c>
      <c r="J63" s="9"/>
      <c r="K63" s="9"/>
      <c r="L63" s="10"/>
      <c r="M63" s="10"/>
      <c r="N63" s="11"/>
      <c r="O63" s="11"/>
      <c r="P63" s="9"/>
      <c r="Q63" s="9"/>
    </row>
    <row r="64" spans="1:17" x14ac:dyDescent="0.2">
      <c r="A64" s="20" t="s">
        <v>71</v>
      </c>
      <c r="B64" s="1" t="s">
        <v>9</v>
      </c>
      <c r="C64" s="1">
        <v>3</v>
      </c>
      <c r="D64" s="2">
        <v>130314.56</v>
      </c>
      <c r="E64" s="3">
        <v>32080817.109999999</v>
      </c>
      <c r="F64" s="4">
        <f t="shared" si="0"/>
        <v>4.0620710985375518E-3</v>
      </c>
      <c r="G64" s="2">
        <f t="shared" si="1"/>
        <v>320808.17109999998</v>
      </c>
      <c r="H64" s="5">
        <f t="shared" si="2"/>
        <v>-190493.61109999998</v>
      </c>
      <c r="I64" s="5" t="str">
        <f t="shared" si="3"/>
        <v>Pagamento 1 ano</v>
      </c>
      <c r="J64" s="9"/>
      <c r="K64" s="9"/>
      <c r="L64" s="10"/>
      <c r="M64" s="10"/>
      <c r="N64" s="11"/>
      <c r="O64" s="11"/>
      <c r="P64" s="9"/>
      <c r="Q64" s="9"/>
    </row>
    <row r="65" spans="1:17" x14ac:dyDescent="0.2">
      <c r="A65" s="20" t="s">
        <v>72</v>
      </c>
      <c r="B65" s="1" t="s">
        <v>9</v>
      </c>
      <c r="C65" s="1">
        <v>2</v>
      </c>
      <c r="D65" s="2">
        <v>1115404.1599999999</v>
      </c>
      <c r="E65" s="3">
        <v>14875196.439999999</v>
      </c>
      <c r="F65" s="4">
        <f t="shared" si="0"/>
        <v>7.4984163368803217E-2</v>
      </c>
      <c r="G65" s="2">
        <f t="shared" si="1"/>
        <v>148751.9644</v>
      </c>
      <c r="H65" s="5">
        <f t="shared" si="2"/>
        <v>966652.19559999998</v>
      </c>
      <c r="I65" s="5" t="str">
        <f t="shared" si="3"/>
        <v>saldo devedor</v>
      </c>
      <c r="J65" s="6">
        <f t="shared" ref="J65:J68" si="63">H65-G65</f>
        <v>817900.23120000004</v>
      </c>
      <c r="K65" s="6" t="str">
        <f t="shared" ref="K65:K68" si="64">IF(J65&lt;0,"Pagamento 2 ano", "saldo devedor")</f>
        <v>saldo devedor</v>
      </c>
      <c r="L65" s="7">
        <f t="shared" ref="L65:L66" si="65">J65-G65</f>
        <v>669148.2668000001</v>
      </c>
      <c r="M65" s="7" t="str">
        <f t="shared" ref="M65:M66" si="66">IF(L65&lt;0,"Pagamento 3 ano", "saldo devedor")</f>
        <v>saldo devedor</v>
      </c>
      <c r="N65" s="8">
        <f>L65-G65</f>
        <v>520396.3024000001</v>
      </c>
      <c r="O65" s="8" t="str">
        <f>IF(N65&lt;0,"Pagamento 4 ano", "saldo devedor")</f>
        <v>saldo devedor</v>
      </c>
      <c r="P65" s="6">
        <f>N65</f>
        <v>520396.3024000001</v>
      </c>
      <c r="Q65" s="6" t="str">
        <f>IF(P65&lt;0,"Pagamento 5 ano", "saldo a ser Liquidado")</f>
        <v>saldo a ser Liquidado</v>
      </c>
    </row>
    <row r="66" spans="1:17" x14ac:dyDescent="0.2">
      <c r="A66" s="20" t="s">
        <v>73</v>
      </c>
      <c r="B66" s="1" t="s">
        <v>9</v>
      </c>
      <c r="C66" s="1">
        <v>3</v>
      </c>
      <c r="D66" s="2">
        <v>238685.49</v>
      </c>
      <c r="E66" s="3">
        <v>11717802.869999999</v>
      </c>
      <c r="F66" s="4">
        <f t="shared" ref="F66:F97" si="67">D66/E66</f>
        <v>2.0369474776801736E-2</v>
      </c>
      <c r="G66" s="2">
        <f t="shared" si="1"/>
        <v>117178.0287</v>
      </c>
      <c r="H66" s="5">
        <f t="shared" si="2"/>
        <v>121507.4613</v>
      </c>
      <c r="I66" s="5" t="str">
        <f t="shared" si="3"/>
        <v>saldo devedor</v>
      </c>
      <c r="J66" s="6">
        <f t="shared" si="63"/>
        <v>4329.4326000000001</v>
      </c>
      <c r="K66" s="6" t="str">
        <f t="shared" si="64"/>
        <v>saldo devedor</v>
      </c>
      <c r="L66" s="7">
        <f t="shared" si="65"/>
        <v>-112848.5961</v>
      </c>
      <c r="M66" s="7" t="str">
        <f t="shared" si="66"/>
        <v>Pagamento 3 ano</v>
      </c>
      <c r="N66" s="11"/>
      <c r="O66" s="11"/>
      <c r="P66" s="9"/>
      <c r="Q66" s="9"/>
    </row>
    <row r="67" spans="1:17" x14ac:dyDescent="0.2">
      <c r="A67" s="20" t="s">
        <v>74</v>
      </c>
      <c r="B67" s="1" t="s">
        <v>9</v>
      </c>
      <c r="C67" s="1">
        <v>8</v>
      </c>
      <c r="D67" s="2">
        <v>670961.68999999994</v>
      </c>
      <c r="E67" s="3">
        <v>43630226.880000003</v>
      </c>
      <c r="F67" s="4">
        <f t="shared" si="67"/>
        <v>1.5378368117255133E-2</v>
      </c>
      <c r="G67" s="2">
        <f t="shared" ref="G67:G97" si="68">E67*1%</f>
        <v>436302.26880000002</v>
      </c>
      <c r="H67" s="5">
        <f t="shared" ref="H67:H97" si="69">D67-G67</f>
        <v>234659.42119999992</v>
      </c>
      <c r="I67" s="5" t="str">
        <f t="shared" ref="I67:I97" si="70">IF(H67&lt;0,"Pagamento 1 ano", "saldo devedor")</f>
        <v>saldo devedor</v>
      </c>
      <c r="J67" s="6">
        <f t="shared" si="63"/>
        <v>-201642.8476000001</v>
      </c>
      <c r="K67" s="6" t="str">
        <f t="shared" si="64"/>
        <v>Pagamento 2 ano</v>
      </c>
      <c r="L67" s="10"/>
      <c r="M67" s="10"/>
      <c r="N67" s="11"/>
      <c r="O67" s="11"/>
      <c r="P67" s="9"/>
      <c r="Q67" s="9"/>
    </row>
    <row r="68" spans="1:17" x14ac:dyDescent="0.2">
      <c r="A68" s="20" t="s">
        <v>75</v>
      </c>
      <c r="B68" s="1" t="s">
        <v>9</v>
      </c>
      <c r="C68" s="1">
        <v>5</v>
      </c>
      <c r="D68" s="2">
        <v>250735.83</v>
      </c>
      <c r="E68" s="3">
        <v>24959186.93</v>
      </c>
      <c r="F68" s="4">
        <f t="shared" si="67"/>
        <v>1.0045833251828607E-2</v>
      </c>
      <c r="G68" s="2">
        <f t="shared" si="68"/>
        <v>249591.86929999999</v>
      </c>
      <c r="H68" s="5">
        <f t="shared" si="69"/>
        <v>1143.960699999996</v>
      </c>
      <c r="I68" s="5" t="str">
        <f t="shared" si="70"/>
        <v>saldo devedor</v>
      </c>
      <c r="J68" s="6">
        <f t="shared" si="63"/>
        <v>-248447.9086</v>
      </c>
      <c r="K68" s="6" t="str">
        <f t="shared" si="64"/>
        <v>Pagamento 2 ano</v>
      </c>
      <c r="L68" s="10"/>
      <c r="M68" s="10"/>
      <c r="N68" s="11"/>
      <c r="O68" s="11"/>
      <c r="P68" s="9"/>
      <c r="Q68" s="9"/>
    </row>
    <row r="69" spans="1:17" x14ac:dyDescent="0.2">
      <c r="A69" s="20" t="s">
        <v>76</v>
      </c>
      <c r="B69" s="1" t="s">
        <v>9</v>
      </c>
      <c r="C69" s="1">
        <v>3</v>
      </c>
      <c r="D69" s="2">
        <v>346927.95</v>
      </c>
      <c r="E69" s="3">
        <v>49785742.280000001</v>
      </c>
      <c r="F69" s="4">
        <f t="shared" si="67"/>
        <v>6.9684197545723525E-3</v>
      </c>
      <c r="G69" s="2">
        <f t="shared" si="68"/>
        <v>497857.4228</v>
      </c>
      <c r="H69" s="5">
        <f t="shared" si="69"/>
        <v>-150929.47279999999</v>
      </c>
      <c r="I69" s="5" t="str">
        <f t="shared" si="70"/>
        <v>Pagamento 1 ano</v>
      </c>
      <c r="J69" s="9"/>
      <c r="K69" s="9"/>
      <c r="L69" s="10"/>
      <c r="M69" s="10"/>
      <c r="N69" s="11"/>
      <c r="O69" s="11"/>
      <c r="P69" s="9"/>
      <c r="Q69" s="9"/>
    </row>
    <row r="70" spans="1:17" x14ac:dyDescent="0.2">
      <c r="A70" s="20" t="s">
        <v>77</v>
      </c>
      <c r="B70" s="1" t="s">
        <v>9</v>
      </c>
      <c r="C70" s="1">
        <v>11</v>
      </c>
      <c r="D70" s="2">
        <v>779446.91</v>
      </c>
      <c r="E70" s="3">
        <v>15766094.800000001</v>
      </c>
      <c r="F70" s="4">
        <f t="shared" si="67"/>
        <v>4.9438172222584884E-2</v>
      </c>
      <c r="G70" s="2">
        <f t="shared" si="68"/>
        <v>157660.948</v>
      </c>
      <c r="H70" s="5">
        <f t="shared" si="69"/>
        <v>621785.96200000006</v>
      </c>
      <c r="I70" s="5" t="str">
        <f t="shared" si="70"/>
        <v>saldo devedor</v>
      </c>
      <c r="J70" s="6">
        <f t="shared" ref="J70:J71" si="71">H70-G70</f>
        <v>464125.01400000008</v>
      </c>
      <c r="K70" s="6" t="str">
        <f t="shared" ref="K70:K71" si="72">IF(J70&lt;0,"Pagamento 2 ano", "saldo devedor")</f>
        <v>saldo devedor</v>
      </c>
      <c r="L70" s="7">
        <f>J70-G70</f>
        <v>306464.06600000011</v>
      </c>
      <c r="M70" s="7" t="str">
        <f>IF(L70&lt;0,"Pagamento 3 ano", "saldo devedor")</f>
        <v>saldo devedor</v>
      </c>
      <c r="N70" s="8">
        <f>L70-G70</f>
        <v>148803.1180000001</v>
      </c>
      <c r="O70" s="8" t="str">
        <f>IF(N70&lt;0,"Pagamento 4 ano", "saldo devedor")</f>
        <v>saldo devedor</v>
      </c>
      <c r="P70" s="6">
        <f>N70</f>
        <v>148803.1180000001</v>
      </c>
      <c r="Q70" s="6" t="str">
        <f>IF(P70&lt;0,"Pagamento 5 ano", "saldo a ser Liquidado")</f>
        <v>saldo a ser Liquidado</v>
      </c>
    </row>
    <row r="71" spans="1:17" x14ac:dyDescent="0.2">
      <c r="A71" s="20" t="s">
        <v>78</v>
      </c>
      <c r="B71" s="1" t="s">
        <v>9</v>
      </c>
      <c r="C71" s="1">
        <v>2</v>
      </c>
      <c r="D71" s="2">
        <v>364669.51</v>
      </c>
      <c r="E71" s="3">
        <v>35528419.060000002</v>
      </c>
      <c r="F71" s="4">
        <f t="shared" si="67"/>
        <v>1.0264163721559076E-2</v>
      </c>
      <c r="G71" s="2">
        <f t="shared" si="68"/>
        <v>355284.19060000003</v>
      </c>
      <c r="H71" s="5">
        <f t="shared" si="69"/>
        <v>9385.3193999999785</v>
      </c>
      <c r="I71" s="5" t="str">
        <f t="shared" si="70"/>
        <v>saldo devedor</v>
      </c>
      <c r="J71" s="6">
        <f t="shared" si="71"/>
        <v>-345898.87120000005</v>
      </c>
      <c r="K71" s="6" t="str">
        <f t="shared" si="72"/>
        <v>Pagamento 2 ano</v>
      </c>
      <c r="L71" s="10"/>
      <c r="M71" s="10"/>
      <c r="N71" s="11"/>
      <c r="O71" s="11"/>
      <c r="P71" s="9"/>
      <c r="Q71" s="9"/>
    </row>
    <row r="72" spans="1:17" x14ac:dyDescent="0.2">
      <c r="A72" s="20" t="s">
        <v>79</v>
      </c>
      <c r="B72" s="1" t="s">
        <v>9</v>
      </c>
      <c r="C72" s="1">
        <v>5</v>
      </c>
      <c r="D72" s="2">
        <v>64164.72</v>
      </c>
      <c r="E72" s="3">
        <v>9706512.1199999992</v>
      </c>
      <c r="F72" s="4">
        <f t="shared" si="67"/>
        <v>6.6104816237534357E-3</v>
      </c>
      <c r="G72" s="2">
        <f t="shared" si="68"/>
        <v>97065.121199999994</v>
      </c>
      <c r="H72" s="5">
        <f t="shared" si="69"/>
        <v>-32900.401199999993</v>
      </c>
      <c r="I72" s="5" t="str">
        <f t="shared" si="70"/>
        <v>Pagamento 1 ano</v>
      </c>
      <c r="J72" s="9"/>
      <c r="K72" s="9"/>
      <c r="L72" s="10"/>
      <c r="M72" s="10"/>
      <c r="N72" s="11"/>
      <c r="O72" s="11"/>
      <c r="P72" s="9"/>
      <c r="Q72" s="9"/>
    </row>
    <row r="73" spans="1:17" x14ac:dyDescent="0.2">
      <c r="A73" s="20" t="s">
        <v>80</v>
      </c>
      <c r="B73" s="1" t="s">
        <v>9</v>
      </c>
      <c r="C73" s="1">
        <v>18</v>
      </c>
      <c r="D73" s="2">
        <v>1794798.69</v>
      </c>
      <c r="E73" s="3">
        <v>12092396.4</v>
      </c>
      <c r="F73" s="4">
        <f t="shared" si="67"/>
        <v>0.14842373923501218</v>
      </c>
      <c r="G73" s="2">
        <f t="shared" si="68"/>
        <v>120923.96400000001</v>
      </c>
      <c r="H73" s="5">
        <f t="shared" si="69"/>
        <v>1673874.726</v>
      </c>
      <c r="I73" s="5" t="str">
        <f t="shared" si="70"/>
        <v>saldo devedor</v>
      </c>
      <c r="J73" s="6">
        <f t="shared" ref="J73:J79" si="73">H73-G73</f>
        <v>1552950.7620000001</v>
      </c>
      <c r="K73" s="6" t="str">
        <f t="shared" ref="K73:K79" si="74">IF(J73&lt;0,"Pagamento 2 ano", "saldo devedor")</f>
        <v>saldo devedor</v>
      </c>
      <c r="L73" s="7">
        <f t="shared" ref="L73:L75" si="75">J73-G73</f>
        <v>1432026.7980000002</v>
      </c>
      <c r="M73" s="7" t="str">
        <f t="shared" ref="M73:M75" si="76">IF(L73&lt;0,"Pagamento 3 ano", "saldo devedor")</f>
        <v>saldo devedor</v>
      </c>
      <c r="N73" s="8">
        <f t="shared" ref="N73:N74" si="77">L73-G73</f>
        <v>1311102.8340000003</v>
      </c>
      <c r="O73" s="8" t="str">
        <f t="shared" ref="O73:O74" si="78">IF(N73&lt;0,"Pagamento 4 ano", "saldo devedor")</f>
        <v>saldo devedor</v>
      </c>
      <c r="P73" s="6">
        <f t="shared" ref="P73:P74" si="79">N73</f>
        <v>1311102.8340000003</v>
      </c>
      <c r="Q73" s="6" t="str">
        <f t="shared" ref="Q73:Q74" si="80">IF(P73&lt;0,"Pagamento 5 ano", "saldo a ser Liquidado")</f>
        <v>saldo a ser Liquidado</v>
      </c>
    </row>
    <row r="74" spans="1:17" x14ac:dyDescent="0.2">
      <c r="A74" s="20" t="s">
        <v>81</v>
      </c>
      <c r="B74" s="1" t="s">
        <v>9</v>
      </c>
      <c r="C74" s="1">
        <v>18</v>
      </c>
      <c r="D74" s="2">
        <v>5457444.1299999999</v>
      </c>
      <c r="E74" s="3">
        <v>32957342.66</v>
      </c>
      <c r="F74" s="4">
        <f t="shared" si="67"/>
        <v>0.16559114569099181</v>
      </c>
      <c r="G74" s="2">
        <f t="shared" si="68"/>
        <v>329573.42660000001</v>
      </c>
      <c r="H74" s="5">
        <f t="shared" si="69"/>
        <v>5127870.7034</v>
      </c>
      <c r="I74" s="5" t="str">
        <f t="shared" si="70"/>
        <v>saldo devedor</v>
      </c>
      <c r="J74" s="6">
        <f t="shared" si="73"/>
        <v>4798297.2768000001</v>
      </c>
      <c r="K74" s="6" t="str">
        <f t="shared" si="74"/>
        <v>saldo devedor</v>
      </c>
      <c r="L74" s="7">
        <f t="shared" si="75"/>
        <v>4468723.8502000002</v>
      </c>
      <c r="M74" s="7" t="str">
        <f t="shared" si="76"/>
        <v>saldo devedor</v>
      </c>
      <c r="N74" s="8">
        <f t="shared" si="77"/>
        <v>4139150.4236000003</v>
      </c>
      <c r="O74" s="8" t="str">
        <f t="shared" si="78"/>
        <v>saldo devedor</v>
      </c>
      <c r="P74" s="6">
        <f t="shared" si="79"/>
        <v>4139150.4236000003</v>
      </c>
      <c r="Q74" s="6" t="str">
        <f t="shared" si="80"/>
        <v>saldo a ser Liquidado</v>
      </c>
    </row>
    <row r="75" spans="1:17" x14ac:dyDescent="0.2">
      <c r="A75" s="20" t="s">
        <v>82</v>
      </c>
      <c r="B75" s="1" t="s">
        <v>9</v>
      </c>
      <c r="C75" s="1">
        <v>4</v>
      </c>
      <c r="D75" s="2">
        <v>226030.88</v>
      </c>
      <c r="E75" s="3">
        <v>10700227.75</v>
      </c>
      <c r="F75" s="4">
        <f t="shared" si="67"/>
        <v>2.1123931684538209E-2</v>
      </c>
      <c r="G75" s="2">
        <f t="shared" si="68"/>
        <v>107002.2775</v>
      </c>
      <c r="H75" s="5">
        <f t="shared" si="69"/>
        <v>119028.60250000001</v>
      </c>
      <c r="I75" s="5" t="str">
        <f t="shared" si="70"/>
        <v>saldo devedor</v>
      </c>
      <c r="J75" s="6">
        <f t="shared" si="73"/>
        <v>12026.325000000012</v>
      </c>
      <c r="K75" s="6" t="str">
        <f t="shared" si="74"/>
        <v>saldo devedor</v>
      </c>
      <c r="L75" s="7">
        <f t="shared" si="75"/>
        <v>-94975.952499999985</v>
      </c>
      <c r="M75" s="7" t="str">
        <f t="shared" si="76"/>
        <v>Pagamento 3 ano</v>
      </c>
      <c r="N75" s="11"/>
      <c r="O75" s="11"/>
      <c r="P75" s="9"/>
      <c r="Q75" s="9"/>
    </row>
    <row r="76" spans="1:17" x14ac:dyDescent="0.2">
      <c r="A76" s="20" t="s">
        <v>83</v>
      </c>
      <c r="B76" s="1" t="s">
        <v>9</v>
      </c>
      <c r="C76" s="1">
        <v>19</v>
      </c>
      <c r="D76" s="2">
        <v>2721834.34</v>
      </c>
      <c r="E76" s="3">
        <v>210932654.19</v>
      </c>
      <c r="F76" s="4">
        <f t="shared" si="67"/>
        <v>1.2903807380853779E-2</v>
      </c>
      <c r="G76" s="2">
        <f t="shared" si="68"/>
        <v>2109326.5419000001</v>
      </c>
      <c r="H76" s="5">
        <f t="shared" si="69"/>
        <v>612507.79809999978</v>
      </c>
      <c r="I76" s="5" t="str">
        <f t="shared" si="70"/>
        <v>saldo devedor</v>
      </c>
      <c r="J76" s="6">
        <f t="shared" si="73"/>
        <v>-1496818.7438000003</v>
      </c>
      <c r="K76" s="6" t="str">
        <f t="shared" si="74"/>
        <v>Pagamento 2 ano</v>
      </c>
      <c r="L76" s="10"/>
      <c r="M76" s="10"/>
      <c r="N76" s="11"/>
      <c r="O76" s="11"/>
      <c r="P76" s="9"/>
      <c r="Q76" s="9"/>
    </row>
    <row r="77" spans="1:17" x14ac:dyDescent="0.2">
      <c r="A77" s="20" t="s">
        <v>84</v>
      </c>
      <c r="B77" s="1" t="s">
        <v>9</v>
      </c>
      <c r="C77" s="1">
        <v>7</v>
      </c>
      <c r="D77" s="2">
        <v>405261.62</v>
      </c>
      <c r="E77" s="3">
        <v>20921282.649999999</v>
      </c>
      <c r="F77" s="4">
        <f t="shared" si="67"/>
        <v>1.9370782699119071E-2</v>
      </c>
      <c r="G77" s="2">
        <f t="shared" si="68"/>
        <v>209212.8265</v>
      </c>
      <c r="H77" s="5">
        <f t="shared" si="69"/>
        <v>196048.7935</v>
      </c>
      <c r="I77" s="5" t="str">
        <f t="shared" si="70"/>
        <v>saldo devedor</v>
      </c>
      <c r="J77" s="6">
        <f t="shared" si="73"/>
        <v>-13164.032999999996</v>
      </c>
      <c r="K77" s="6" t="str">
        <f t="shared" si="74"/>
        <v>Pagamento 2 ano</v>
      </c>
      <c r="L77" s="10"/>
      <c r="M77" s="10"/>
      <c r="N77" s="11"/>
      <c r="O77" s="11"/>
      <c r="P77" s="9"/>
      <c r="Q77" s="9"/>
    </row>
    <row r="78" spans="1:17" x14ac:dyDescent="0.2">
      <c r="A78" s="20" t="s">
        <v>85</v>
      </c>
      <c r="B78" s="1" t="s">
        <v>9</v>
      </c>
      <c r="C78" s="1">
        <v>27</v>
      </c>
      <c r="D78" s="2">
        <v>9132501.6099999994</v>
      </c>
      <c r="E78" s="3">
        <v>213816719.38</v>
      </c>
      <c r="F78" s="4">
        <f t="shared" si="67"/>
        <v>4.2711821771848943E-2</v>
      </c>
      <c r="G78" s="2">
        <f t="shared" si="68"/>
        <v>2138167.1938</v>
      </c>
      <c r="H78" s="5">
        <f t="shared" si="69"/>
        <v>6994334.4161999989</v>
      </c>
      <c r="I78" s="5" t="str">
        <f t="shared" si="70"/>
        <v>saldo devedor</v>
      </c>
      <c r="J78" s="6">
        <f t="shared" si="73"/>
        <v>4856167.2223999985</v>
      </c>
      <c r="K78" s="6" t="str">
        <f t="shared" si="74"/>
        <v>saldo devedor</v>
      </c>
      <c r="L78" s="7">
        <f t="shared" ref="L78:L79" si="81">J78-G78</f>
        <v>2718000.0285999984</v>
      </c>
      <c r="M78" s="7" t="str">
        <f t="shared" ref="M78:M79" si="82">IF(L78&lt;0,"Pagamento 3 ano", "saldo devedor")</f>
        <v>saldo devedor</v>
      </c>
      <c r="N78" s="8">
        <f>L78-G78</f>
        <v>579832.83479999844</v>
      </c>
      <c r="O78" s="8" t="str">
        <f>IF(N78&lt;0,"Pagamento 4 ano", "saldo devedor")</f>
        <v>saldo devedor</v>
      </c>
      <c r="P78" s="6">
        <f>N78</f>
        <v>579832.83479999844</v>
      </c>
      <c r="Q78" s="6" t="str">
        <f>IF(P78&lt;0,"Pagamento 5 ano", "saldo a ser Liquidado")</f>
        <v>saldo a ser Liquidado</v>
      </c>
    </row>
    <row r="79" spans="1:17" x14ac:dyDescent="0.2">
      <c r="A79" s="20" t="s">
        <v>86</v>
      </c>
      <c r="B79" s="1" t="s">
        <v>9</v>
      </c>
      <c r="C79" s="1">
        <v>13</v>
      </c>
      <c r="D79" s="2">
        <v>1527120.9</v>
      </c>
      <c r="E79" s="3">
        <v>59780161.539999999</v>
      </c>
      <c r="F79" s="4">
        <f t="shared" si="67"/>
        <v>2.5545613472090993E-2</v>
      </c>
      <c r="G79" s="2">
        <f t="shared" si="68"/>
        <v>597801.61540000001</v>
      </c>
      <c r="H79" s="5">
        <f t="shared" si="69"/>
        <v>929319.2845999999</v>
      </c>
      <c r="I79" s="5" t="str">
        <f t="shared" si="70"/>
        <v>saldo devedor</v>
      </c>
      <c r="J79" s="6">
        <f t="shared" si="73"/>
        <v>331517.66919999989</v>
      </c>
      <c r="K79" s="6" t="str">
        <f t="shared" si="74"/>
        <v>saldo devedor</v>
      </c>
      <c r="L79" s="7">
        <f t="shared" si="81"/>
        <v>-266283.94620000012</v>
      </c>
      <c r="M79" s="7" t="str">
        <f t="shared" si="82"/>
        <v>Pagamento 3 ano</v>
      </c>
      <c r="N79" s="11"/>
      <c r="O79" s="11"/>
      <c r="P79" s="9"/>
      <c r="Q79" s="9"/>
    </row>
    <row r="80" spans="1:17" x14ac:dyDescent="0.2">
      <c r="A80" s="20" t="s">
        <v>87</v>
      </c>
      <c r="B80" s="1" t="s">
        <v>9</v>
      </c>
      <c r="C80" s="1">
        <v>2</v>
      </c>
      <c r="D80" s="2">
        <v>69302.509999999995</v>
      </c>
      <c r="E80" s="3">
        <v>16023444.310000001</v>
      </c>
      <c r="F80" s="4">
        <f t="shared" si="67"/>
        <v>4.3250694831416048E-3</v>
      </c>
      <c r="G80" s="2">
        <f t="shared" si="68"/>
        <v>160234.4431</v>
      </c>
      <c r="H80" s="5">
        <f t="shared" si="69"/>
        <v>-90931.933100000009</v>
      </c>
      <c r="I80" s="5" t="str">
        <f t="shared" si="70"/>
        <v>Pagamento 1 ano</v>
      </c>
      <c r="J80" s="9"/>
      <c r="K80" s="9"/>
      <c r="L80" s="10"/>
      <c r="M80" s="10"/>
      <c r="N80" s="11"/>
      <c r="O80" s="11"/>
      <c r="P80" s="9"/>
      <c r="Q80" s="9"/>
    </row>
    <row r="81" spans="1:17" x14ac:dyDescent="0.2">
      <c r="A81" s="20" t="s">
        <v>88</v>
      </c>
      <c r="B81" s="1" t="s">
        <v>9</v>
      </c>
      <c r="C81" s="1">
        <v>11</v>
      </c>
      <c r="D81" s="2">
        <v>1875900.58</v>
      </c>
      <c r="E81" s="3">
        <v>42391925.640000001</v>
      </c>
      <c r="F81" s="4">
        <f t="shared" si="67"/>
        <v>4.4251365128597633E-2</v>
      </c>
      <c r="G81" s="2">
        <f t="shared" si="68"/>
        <v>423919.25640000001</v>
      </c>
      <c r="H81" s="5">
        <f t="shared" si="69"/>
        <v>1451981.3236</v>
      </c>
      <c r="I81" s="5" t="str">
        <f t="shared" si="70"/>
        <v>saldo devedor</v>
      </c>
      <c r="J81" s="6">
        <f t="shared" ref="J81:J91" si="83">H81-G81</f>
        <v>1028062.0671999999</v>
      </c>
      <c r="K81" s="6" t="str">
        <f t="shared" ref="K81:K91" si="84">IF(J81&lt;0,"Pagamento 2 ano", "saldo devedor")</f>
        <v>saldo devedor</v>
      </c>
      <c r="L81" s="7">
        <f t="shared" ref="L81:L84" si="85">J81-G81</f>
        <v>604142.81079999986</v>
      </c>
      <c r="M81" s="7" t="str">
        <f t="shared" ref="M81:M84" si="86">IF(L81&lt;0,"Pagamento 3 ano", "saldo devedor")</f>
        <v>saldo devedor</v>
      </c>
      <c r="N81" s="8">
        <f t="shared" ref="N81:N82" si="87">L81-G81</f>
        <v>180223.55439999985</v>
      </c>
      <c r="O81" s="8" t="str">
        <f t="shared" ref="O81:O82" si="88">IF(N81&lt;0,"Pagamento 4 ano", "saldo devedor")</f>
        <v>saldo devedor</v>
      </c>
      <c r="P81" s="6">
        <f>N81</f>
        <v>180223.55439999985</v>
      </c>
      <c r="Q81" s="6" t="str">
        <f>IF(P81&lt;0,"Pagamento 5 ano", "saldo a ser Liquidado")</f>
        <v>saldo a ser Liquidado</v>
      </c>
    </row>
    <row r="82" spans="1:17" x14ac:dyDescent="0.2">
      <c r="A82" s="20" t="s">
        <v>89</v>
      </c>
      <c r="B82" s="1" t="s">
        <v>9</v>
      </c>
      <c r="C82" s="1">
        <v>52</v>
      </c>
      <c r="D82" s="2">
        <v>13912479.73</v>
      </c>
      <c r="E82" s="3">
        <v>447773038.51999998</v>
      </c>
      <c r="F82" s="4">
        <f t="shared" si="67"/>
        <v>3.1070382834983024E-2</v>
      </c>
      <c r="G82" s="2">
        <f t="shared" si="68"/>
        <v>4477730.3851999994</v>
      </c>
      <c r="H82" s="5">
        <f t="shared" si="69"/>
        <v>9434749.344800001</v>
      </c>
      <c r="I82" s="5" t="str">
        <f t="shared" si="70"/>
        <v>saldo devedor</v>
      </c>
      <c r="J82" s="6">
        <f t="shared" si="83"/>
        <v>4957018.9596000016</v>
      </c>
      <c r="K82" s="6" t="str">
        <f t="shared" si="84"/>
        <v>saldo devedor</v>
      </c>
      <c r="L82" s="7">
        <f t="shared" si="85"/>
        <v>479288.57440000214</v>
      </c>
      <c r="M82" s="7" t="str">
        <f t="shared" si="86"/>
        <v>saldo devedor</v>
      </c>
      <c r="N82" s="8">
        <f t="shared" si="87"/>
        <v>-3998441.8107999973</v>
      </c>
      <c r="O82" s="8" t="str">
        <f t="shared" si="88"/>
        <v>Pagamento 4 ano</v>
      </c>
      <c r="P82" s="9"/>
      <c r="Q82" s="9"/>
    </row>
    <row r="83" spans="1:17" x14ac:dyDescent="0.2">
      <c r="A83" s="20" t="s">
        <v>90</v>
      </c>
      <c r="B83" s="1" t="s">
        <v>9</v>
      </c>
      <c r="C83" s="1">
        <v>5</v>
      </c>
      <c r="D83" s="2">
        <v>410163.82</v>
      </c>
      <c r="E83" s="3">
        <v>16765673.880000001</v>
      </c>
      <c r="F83" s="4">
        <f t="shared" si="67"/>
        <v>2.4464499484824764E-2</v>
      </c>
      <c r="G83" s="2">
        <f t="shared" si="68"/>
        <v>167656.73880000002</v>
      </c>
      <c r="H83" s="5">
        <f t="shared" si="69"/>
        <v>242507.08119999999</v>
      </c>
      <c r="I83" s="5" t="str">
        <f t="shared" si="70"/>
        <v>saldo devedor</v>
      </c>
      <c r="J83" s="6">
        <f t="shared" si="83"/>
        <v>74850.342399999965</v>
      </c>
      <c r="K83" s="6" t="str">
        <f t="shared" si="84"/>
        <v>saldo devedor</v>
      </c>
      <c r="L83" s="7">
        <f t="shared" si="85"/>
        <v>-92806.396400000056</v>
      </c>
      <c r="M83" s="7" t="str">
        <f t="shared" si="86"/>
        <v>Pagamento 3 ano</v>
      </c>
      <c r="N83" s="11"/>
      <c r="O83" s="11"/>
      <c r="P83" s="9"/>
      <c r="Q83" s="9"/>
    </row>
    <row r="84" spans="1:17" x14ac:dyDescent="0.2">
      <c r="A84" s="20" t="s">
        <v>91</v>
      </c>
      <c r="B84" s="1" t="s">
        <v>9</v>
      </c>
      <c r="C84" s="1">
        <v>2</v>
      </c>
      <c r="D84" s="2">
        <v>6226364.8799999999</v>
      </c>
      <c r="E84" s="3">
        <v>55338621.780000001</v>
      </c>
      <c r="F84" s="4">
        <f t="shared" si="67"/>
        <v>0.11251391306334048</v>
      </c>
      <c r="G84" s="2">
        <f t="shared" si="68"/>
        <v>553386.21779999998</v>
      </c>
      <c r="H84" s="5">
        <f t="shared" si="69"/>
        <v>5672978.6622000001</v>
      </c>
      <c r="I84" s="5" t="str">
        <f t="shared" si="70"/>
        <v>saldo devedor</v>
      </c>
      <c r="J84" s="6">
        <f t="shared" si="83"/>
        <v>5119592.4444000004</v>
      </c>
      <c r="K84" s="6" t="str">
        <f t="shared" si="84"/>
        <v>saldo devedor</v>
      </c>
      <c r="L84" s="7">
        <f t="shared" si="85"/>
        <v>4566206.2266000006</v>
      </c>
      <c r="M84" s="7" t="str">
        <f t="shared" si="86"/>
        <v>saldo devedor</v>
      </c>
      <c r="N84" s="8">
        <f>L84-G84</f>
        <v>4012820.0088000009</v>
      </c>
      <c r="O84" s="8" t="str">
        <f>IF(N84&lt;0,"Pagamento 4 ano", "saldo devedor")</f>
        <v>saldo devedor</v>
      </c>
      <c r="P84" s="6">
        <f>N84</f>
        <v>4012820.0088000009</v>
      </c>
      <c r="Q84" s="6" t="str">
        <f>IF(P84&lt;0,"Pagamento 5 ano", "saldo a ser Liquidado")</f>
        <v>saldo a ser Liquidado</v>
      </c>
    </row>
    <row r="85" spans="1:17" x14ac:dyDescent="0.2">
      <c r="A85" s="20" t="s">
        <v>92</v>
      </c>
      <c r="B85" s="1" t="s">
        <v>9</v>
      </c>
      <c r="C85" s="1">
        <v>16</v>
      </c>
      <c r="D85" s="2">
        <v>1142281.3799999999</v>
      </c>
      <c r="E85" s="3">
        <v>80899911.049999997</v>
      </c>
      <c r="F85" s="4">
        <f t="shared" si="67"/>
        <v>1.4119686476466156E-2</v>
      </c>
      <c r="G85" s="2">
        <f t="shared" si="68"/>
        <v>808999.11049999995</v>
      </c>
      <c r="H85" s="5">
        <f t="shared" si="69"/>
        <v>333282.26949999994</v>
      </c>
      <c r="I85" s="5" t="str">
        <f t="shared" si="70"/>
        <v>saldo devedor</v>
      </c>
      <c r="J85" s="6">
        <f t="shared" si="83"/>
        <v>-475716.84100000001</v>
      </c>
      <c r="K85" s="6" t="str">
        <f t="shared" si="84"/>
        <v>Pagamento 2 ano</v>
      </c>
      <c r="L85" s="10"/>
      <c r="M85" s="10"/>
      <c r="N85" s="11"/>
      <c r="O85" s="11"/>
      <c r="P85" s="9"/>
      <c r="Q85" s="9"/>
    </row>
    <row r="86" spans="1:17" x14ac:dyDescent="0.2">
      <c r="A86" s="20" t="s">
        <v>93</v>
      </c>
      <c r="B86" s="1" t="s">
        <v>9</v>
      </c>
      <c r="C86" s="1">
        <v>5</v>
      </c>
      <c r="D86" s="2">
        <v>491830.09</v>
      </c>
      <c r="E86" s="3">
        <v>42198796.469999999</v>
      </c>
      <c r="F86" s="4">
        <f t="shared" si="67"/>
        <v>1.1655073868034417E-2</v>
      </c>
      <c r="G86" s="2">
        <f t="shared" si="68"/>
        <v>421987.96470000001</v>
      </c>
      <c r="H86" s="5">
        <f t="shared" si="69"/>
        <v>69842.125300000014</v>
      </c>
      <c r="I86" s="5" t="str">
        <f t="shared" si="70"/>
        <v>saldo devedor</v>
      </c>
      <c r="J86" s="6">
        <f t="shared" si="83"/>
        <v>-352145.8394</v>
      </c>
      <c r="K86" s="6" t="str">
        <f t="shared" si="84"/>
        <v>Pagamento 2 ano</v>
      </c>
      <c r="L86" s="10"/>
      <c r="M86" s="10"/>
      <c r="N86" s="11"/>
      <c r="O86" s="11"/>
      <c r="P86" s="9"/>
      <c r="Q86" s="9"/>
    </row>
    <row r="87" spans="1:17" x14ac:dyDescent="0.2">
      <c r="A87" s="20" t="s">
        <v>94</v>
      </c>
      <c r="B87" s="1" t="s">
        <v>9</v>
      </c>
      <c r="C87" s="1">
        <v>23</v>
      </c>
      <c r="D87" s="2">
        <v>2630790.77</v>
      </c>
      <c r="E87" s="3">
        <v>27771955.649999999</v>
      </c>
      <c r="F87" s="4">
        <f t="shared" si="67"/>
        <v>9.4728322454310135E-2</v>
      </c>
      <c r="G87" s="2">
        <f t="shared" si="68"/>
        <v>277719.55650000001</v>
      </c>
      <c r="H87" s="5">
        <f t="shared" si="69"/>
        <v>2353071.2135000001</v>
      </c>
      <c r="I87" s="5" t="str">
        <f t="shared" si="70"/>
        <v>saldo devedor</v>
      </c>
      <c r="J87" s="6">
        <f t="shared" si="83"/>
        <v>2075351.6570000001</v>
      </c>
      <c r="K87" s="6" t="str">
        <f t="shared" si="84"/>
        <v>saldo devedor</v>
      </c>
      <c r="L87" s="7">
        <f>J87-G87</f>
        <v>1797632.1005000002</v>
      </c>
      <c r="M87" s="7" t="str">
        <f>IF(L87&lt;0,"Pagamento 3 ano", "saldo devedor")</f>
        <v>saldo devedor</v>
      </c>
      <c r="N87" s="8">
        <f>L87-G87</f>
        <v>1519912.5440000002</v>
      </c>
      <c r="O87" s="8" t="str">
        <f>IF(N87&lt;0,"Pagamento 4 ano", "saldo devedor")</f>
        <v>saldo devedor</v>
      </c>
      <c r="P87" s="6">
        <f>N87</f>
        <v>1519912.5440000002</v>
      </c>
      <c r="Q87" s="6" t="str">
        <f>IF(P87&lt;0,"Pagamento 5 ano", "saldo a ser Liquidado")</f>
        <v>saldo a ser Liquidado</v>
      </c>
    </row>
    <row r="88" spans="1:17" x14ac:dyDescent="0.2">
      <c r="A88" s="20" t="s">
        <v>95</v>
      </c>
      <c r="B88" s="1" t="s">
        <v>9</v>
      </c>
      <c r="C88" s="1">
        <v>6</v>
      </c>
      <c r="D88" s="2">
        <v>522710.86</v>
      </c>
      <c r="E88" s="3">
        <v>50189087.700000003</v>
      </c>
      <c r="F88" s="4">
        <f t="shared" si="67"/>
        <v>1.0414830871691656E-2</v>
      </c>
      <c r="G88" s="2">
        <f t="shared" si="68"/>
        <v>501890.87700000004</v>
      </c>
      <c r="H88" s="5">
        <f t="shared" si="69"/>
        <v>20819.982999999949</v>
      </c>
      <c r="I88" s="5" t="str">
        <f t="shared" si="70"/>
        <v>saldo devedor</v>
      </c>
      <c r="J88" s="6">
        <f t="shared" si="83"/>
        <v>-481070.89400000009</v>
      </c>
      <c r="K88" s="6" t="str">
        <f t="shared" si="84"/>
        <v>Pagamento 2 ano</v>
      </c>
      <c r="L88" s="10"/>
      <c r="M88" s="10"/>
      <c r="N88" s="11"/>
      <c r="O88" s="11"/>
      <c r="P88" s="9"/>
      <c r="Q88" s="9"/>
    </row>
    <row r="89" spans="1:17" x14ac:dyDescent="0.2">
      <c r="A89" s="20" t="s">
        <v>96</v>
      </c>
      <c r="B89" s="1" t="s">
        <v>9</v>
      </c>
      <c r="C89" s="1">
        <v>9</v>
      </c>
      <c r="D89" s="2">
        <v>425881.5</v>
      </c>
      <c r="E89" s="3">
        <v>40353021.740000002</v>
      </c>
      <c r="F89" s="4">
        <f t="shared" si="67"/>
        <v>1.0553893652475702E-2</v>
      </c>
      <c r="G89" s="2">
        <f t="shared" si="68"/>
        <v>403530.21740000002</v>
      </c>
      <c r="H89" s="5">
        <f t="shared" si="69"/>
        <v>22351.282599999977</v>
      </c>
      <c r="I89" s="5" t="str">
        <f t="shared" si="70"/>
        <v>saldo devedor</v>
      </c>
      <c r="J89" s="6">
        <f t="shared" si="83"/>
        <v>-381178.93480000005</v>
      </c>
      <c r="K89" s="6" t="str">
        <f t="shared" si="84"/>
        <v>Pagamento 2 ano</v>
      </c>
      <c r="L89" s="10"/>
      <c r="M89" s="10"/>
      <c r="N89" s="11"/>
      <c r="O89" s="11"/>
      <c r="P89" s="9"/>
      <c r="Q89" s="9"/>
    </row>
    <row r="90" spans="1:17" x14ac:dyDescent="0.2">
      <c r="A90" s="20" t="s">
        <v>97</v>
      </c>
      <c r="B90" s="1" t="s">
        <v>9</v>
      </c>
      <c r="C90" s="1">
        <v>8</v>
      </c>
      <c r="D90" s="2">
        <v>1115734.1000000001</v>
      </c>
      <c r="E90" s="3">
        <v>13125758.32</v>
      </c>
      <c r="F90" s="4">
        <f t="shared" si="67"/>
        <v>8.5003401159682482E-2</v>
      </c>
      <c r="G90" s="2">
        <f t="shared" si="68"/>
        <v>131257.58319999999</v>
      </c>
      <c r="H90" s="5">
        <f t="shared" si="69"/>
        <v>984476.5168000001</v>
      </c>
      <c r="I90" s="5" t="str">
        <f t="shared" si="70"/>
        <v>saldo devedor</v>
      </c>
      <c r="J90" s="6">
        <f t="shared" si="83"/>
        <v>853218.93360000011</v>
      </c>
      <c r="K90" s="6" t="str">
        <f t="shared" si="84"/>
        <v>saldo devedor</v>
      </c>
      <c r="L90" s="7">
        <f t="shared" ref="L90:L91" si="89">J90-G90</f>
        <v>721961.35040000011</v>
      </c>
      <c r="M90" s="7" t="str">
        <f t="shared" ref="M90:M91" si="90">IF(L90&lt;0,"Pagamento 3 ano", "saldo devedor")</f>
        <v>saldo devedor</v>
      </c>
      <c r="N90" s="8">
        <f t="shared" ref="N90:N91" si="91">L90-G90</f>
        <v>590703.76720000012</v>
      </c>
      <c r="O90" s="8" t="str">
        <f t="shared" ref="O90:O91" si="92">IF(N90&lt;0,"Pagamento 4 ano", "saldo devedor")</f>
        <v>saldo devedor</v>
      </c>
      <c r="P90" s="6">
        <f>N90</f>
        <v>590703.76720000012</v>
      </c>
      <c r="Q90" s="6" t="str">
        <f>IF(P90&lt;0,"Pagamento 5 ano", "saldo a ser Liquidado")</f>
        <v>saldo a ser Liquidado</v>
      </c>
    </row>
    <row r="91" spans="1:17" x14ac:dyDescent="0.2">
      <c r="A91" s="20" t="s">
        <v>98</v>
      </c>
      <c r="B91" s="1" t="s">
        <v>9</v>
      </c>
      <c r="C91" s="1">
        <v>12</v>
      </c>
      <c r="D91" s="2">
        <v>1815456.68</v>
      </c>
      <c r="E91" s="3">
        <v>50999279.539999999</v>
      </c>
      <c r="F91" s="4">
        <f t="shared" si="67"/>
        <v>3.5597692680660167E-2</v>
      </c>
      <c r="G91" s="2">
        <f t="shared" si="68"/>
        <v>509992.7954</v>
      </c>
      <c r="H91" s="5">
        <f t="shared" si="69"/>
        <v>1305463.8846</v>
      </c>
      <c r="I91" s="5" t="str">
        <f t="shared" si="70"/>
        <v>saldo devedor</v>
      </c>
      <c r="J91" s="6">
        <f t="shared" si="83"/>
        <v>795471.08920000005</v>
      </c>
      <c r="K91" s="6" t="str">
        <f t="shared" si="84"/>
        <v>saldo devedor</v>
      </c>
      <c r="L91" s="7">
        <f t="shared" si="89"/>
        <v>285478.29380000004</v>
      </c>
      <c r="M91" s="7" t="str">
        <f t="shared" si="90"/>
        <v>saldo devedor</v>
      </c>
      <c r="N91" s="8">
        <f t="shared" si="91"/>
        <v>-224514.50159999996</v>
      </c>
      <c r="O91" s="8" t="str">
        <f t="shared" si="92"/>
        <v>Pagamento 4 ano</v>
      </c>
      <c r="P91" s="9"/>
      <c r="Q91" s="9"/>
    </row>
    <row r="92" spans="1:17" x14ac:dyDescent="0.2">
      <c r="A92" s="20" t="s">
        <v>99</v>
      </c>
      <c r="B92" s="1" t="s">
        <v>9</v>
      </c>
      <c r="C92" s="1">
        <v>1</v>
      </c>
      <c r="D92" s="2">
        <v>23877.27</v>
      </c>
      <c r="E92" s="3">
        <v>14561910.42</v>
      </c>
      <c r="F92" s="4">
        <f t="shared" si="67"/>
        <v>1.6397072438521429E-3</v>
      </c>
      <c r="G92" s="2">
        <f t="shared" si="68"/>
        <v>145619.1042</v>
      </c>
      <c r="H92" s="5">
        <f t="shared" si="69"/>
        <v>-121741.8342</v>
      </c>
      <c r="I92" s="5" t="str">
        <f t="shared" si="70"/>
        <v>Pagamento 1 ano</v>
      </c>
      <c r="J92" s="9"/>
      <c r="K92" s="9"/>
      <c r="L92" s="10"/>
      <c r="M92" s="10"/>
      <c r="N92" s="11"/>
      <c r="O92" s="11"/>
      <c r="P92" s="9"/>
      <c r="Q92" s="9"/>
    </row>
    <row r="93" spans="1:17" x14ac:dyDescent="0.2">
      <c r="A93" s="20" t="s">
        <v>100</v>
      </c>
      <c r="B93" s="1" t="s">
        <v>9</v>
      </c>
      <c r="C93" s="1">
        <v>179</v>
      </c>
      <c r="D93" s="2">
        <v>23909260.890000001</v>
      </c>
      <c r="E93" s="3">
        <v>170745953.96000001</v>
      </c>
      <c r="F93" s="4">
        <f t="shared" si="67"/>
        <v>0.14002827203507925</v>
      </c>
      <c r="G93" s="2">
        <f t="shared" si="68"/>
        <v>1707459.5396</v>
      </c>
      <c r="H93" s="5">
        <f t="shared" si="69"/>
        <v>22201801.350400001</v>
      </c>
      <c r="I93" s="5" t="str">
        <f t="shared" si="70"/>
        <v>saldo devedor</v>
      </c>
      <c r="J93" s="6">
        <f>H93-G93</f>
        <v>20494341.810800001</v>
      </c>
      <c r="K93" s="6" t="str">
        <f>IF(J93&lt;0,"Pagamento 2 ano", "saldo devedor")</f>
        <v>saldo devedor</v>
      </c>
      <c r="L93" s="7">
        <f>J93-G93</f>
        <v>18786882.271200001</v>
      </c>
      <c r="M93" s="7" t="str">
        <f>IF(L93&lt;0,"Pagamento 3 ano", "saldo devedor")</f>
        <v>saldo devedor</v>
      </c>
      <c r="N93" s="8">
        <f>L93-G93</f>
        <v>17079422.731600001</v>
      </c>
      <c r="O93" s="8" t="str">
        <f>IF(N93&lt;0,"Pagamento 4 ano", "saldo devedor")</f>
        <v>saldo devedor</v>
      </c>
      <c r="P93" s="6">
        <f>N93</f>
        <v>17079422.731600001</v>
      </c>
      <c r="Q93" s="6" t="str">
        <f>IF(P93&lt;0,"Pagamento 5 ano", "saldo a ser Liquidado")</f>
        <v>saldo a ser Liquidado</v>
      </c>
    </row>
    <row r="94" spans="1:17" x14ac:dyDescent="0.2">
      <c r="A94" s="20" t="s">
        <v>101</v>
      </c>
      <c r="B94" s="1" t="s">
        <v>9</v>
      </c>
      <c r="C94" s="1">
        <v>4</v>
      </c>
      <c r="D94" s="2">
        <v>234290.48</v>
      </c>
      <c r="E94" s="3">
        <v>29269846.190000001</v>
      </c>
      <c r="F94" s="4">
        <f t="shared" si="67"/>
        <v>8.0044998692218958E-3</v>
      </c>
      <c r="G94" s="2">
        <f t="shared" si="68"/>
        <v>292698.46189999999</v>
      </c>
      <c r="H94" s="5">
        <f t="shared" si="69"/>
        <v>-58407.981899999984</v>
      </c>
      <c r="I94" s="5" t="str">
        <f t="shared" si="70"/>
        <v>Pagamento 1 ano</v>
      </c>
      <c r="J94" s="9"/>
      <c r="K94" s="9"/>
      <c r="L94" s="10"/>
      <c r="M94" s="10"/>
      <c r="N94" s="11"/>
      <c r="O94" s="11"/>
      <c r="P94" s="9"/>
      <c r="Q94" s="9"/>
    </row>
    <row r="95" spans="1:17" x14ac:dyDescent="0.2">
      <c r="A95" s="20" t="s">
        <v>102</v>
      </c>
      <c r="B95" s="1" t="s">
        <v>9</v>
      </c>
      <c r="C95" s="1">
        <v>21</v>
      </c>
      <c r="D95" s="2">
        <f>30474396.73-25258346.28</f>
        <v>5216050.4499999993</v>
      </c>
      <c r="E95" s="3">
        <v>50590258.859999999</v>
      </c>
      <c r="F95" s="4">
        <f t="shared" si="67"/>
        <v>0.10310384978330588</v>
      </c>
      <c r="G95" s="2">
        <f t="shared" si="68"/>
        <v>505902.58860000002</v>
      </c>
      <c r="H95" s="5">
        <f t="shared" si="69"/>
        <v>4710147.8613999989</v>
      </c>
      <c r="I95" s="5" t="str">
        <f t="shared" si="70"/>
        <v>saldo devedor</v>
      </c>
      <c r="J95" s="6">
        <f>H95-G95</f>
        <v>4204245.2727999985</v>
      </c>
      <c r="K95" s="6" t="str">
        <f>IF(J95&lt;0,"Pagamento 2 ano", "saldo devedor")</f>
        <v>saldo devedor</v>
      </c>
      <c r="L95" s="7">
        <f>J95-G95</f>
        <v>3698342.6841999986</v>
      </c>
      <c r="M95" s="7" t="str">
        <f>IF(L95&lt;0,"Pagamento 3 ano", "saldo devedor")</f>
        <v>saldo devedor</v>
      </c>
      <c r="N95" s="8">
        <f>L95-G95</f>
        <v>3192440.0955999987</v>
      </c>
      <c r="O95" s="8" t="str">
        <f>IF(N95&lt;0,"Pagamento 4 ano", "saldo devedor")</f>
        <v>saldo devedor</v>
      </c>
      <c r="P95" s="6">
        <f>N95</f>
        <v>3192440.0955999987</v>
      </c>
      <c r="Q95" s="6" t="str">
        <f>IF(P95&lt;0,"Pagamento 5 ano", "saldo a ser Liquidado")</f>
        <v>saldo a ser Liquidado</v>
      </c>
    </row>
    <row r="96" spans="1:17" x14ac:dyDescent="0.2">
      <c r="A96" s="20" t="s">
        <v>103</v>
      </c>
      <c r="B96" s="1" t="s">
        <v>9</v>
      </c>
      <c r="C96" s="1">
        <v>1</v>
      </c>
      <c r="D96" s="2">
        <v>14855.06</v>
      </c>
      <c r="E96" s="3">
        <v>17962678</v>
      </c>
      <c r="F96" s="4">
        <f t="shared" si="67"/>
        <v>8.2699584104330094E-4</v>
      </c>
      <c r="G96" s="2">
        <f t="shared" si="68"/>
        <v>179626.78</v>
      </c>
      <c r="H96" s="5">
        <f t="shared" si="69"/>
        <v>-164771.72</v>
      </c>
      <c r="I96" s="5" t="str">
        <f t="shared" si="70"/>
        <v>Pagamento 1 ano</v>
      </c>
      <c r="J96" s="9"/>
      <c r="K96" s="9"/>
      <c r="L96" s="10"/>
      <c r="M96" s="10"/>
      <c r="N96" s="11"/>
      <c r="O96" s="11"/>
      <c r="P96" s="9"/>
      <c r="Q96" s="9"/>
    </row>
    <row r="97" spans="1:17" x14ac:dyDescent="0.2">
      <c r="A97" s="20" t="s">
        <v>104</v>
      </c>
      <c r="B97" s="1" t="s">
        <v>9</v>
      </c>
      <c r="C97" s="1">
        <v>19</v>
      </c>
      <c r="D97" s="2">
        <v>2237534.71</v>
      </c>
      <c r="E97" s="3">
        <v>90164018.799999997</v>
      </c>
      <c r="F97" s="4">
        <f t="shared" si="67"/>
        <v>2.4816270833748596E-2</v>
      </c>
      <c r="G97" s="2">
        <f t="shared" si="68"/>
        <v>901640.18799999997</v>
      </c>
      <c r="H97" s="5">
        <f t="shared" si="69"/>
        <v>1335894.5219999999</v>
      </c>
      <c r="I97" s="5" t="str">
        <f t="shared" si="70"/>
        <v>saldo devedor</v>
      </c>
      <c r="J97" s="6">
        <f>H97-G97</f>
        <v>434254.33399999992</v>
      </c>
      <c r="K97" s="6" t="str">
        <f>IF(J97&lt;0,"Pagamento 2 ano", "saldo devedor")</f>
        <v>saldo devedor</v>
      </c>
      <c r="L97" s="7">
        <f>J97-G97</f>
        <v>-467385.85400000005</v>
      </c>
      <c r="M97" s="7" t="str">
        <f>IF(L97&lt;0,"Pagamento 3 ano", "saldo devedor")</f>
        <v>Pagamento 3 ano</v>
      </c>
      <c r="N97" s="11"/>
      <c r="O97" s="11"/>
      <c r="P97" s="9"/>
      <c r="Q97" s="9"/>
    </row>
    <row r="98" spans="1:17" x14ac:dyDescent="0.2">
      <c r="D98" s="22">
        <f>SUM(D2:D97)</f>
        <v>414200824.77000016</v>
      </c>
      <c r="F98" s="21"/>
    </row>
  </sheetData>
  <autoFilter ref="B1:Q98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Precatórios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EGEM</cp:lastModifiedBy>
  <dcterms:created xsi:type="dcterms:W3CDTF">2015-07-29T11:52:18Z</dcterms:created>
  <dcterms:modified xsi:type="dcterms:W3CDTF">2015-08-10T17:57:25Z</dcterms:modified>
</cp:coreProperties>
</file>